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 activeTab="1"/>
  </bookViews>
  <sheets>
    <sheet name="ค่างาน ถ.ค.ส.ล." sheetId="1" r:id="rId1"/>
    <sheet name="ปร.4" sheetId="2" r:id="rId2"/>
    <sheet name="ปร.5" sheetId="3" r:id="rId3"/>
    <sheet name="ปร.6" sheetId="9" r:id="rId4"/>
    <sheet name="Factor F" sheetId="6" r:id="rId5"/>
    <sheet name="BOQ." sheetId="5" r:id="rId6"/>
  </sheets>
  <externalReferences>
    <externalReference r:id="rId7"/>
  </externalReferences>
  <definedNames>
    <definedName name="ColumnIndexNo">[1]Form1!$CM$225</definedName>
    <definedName name="D">#REF!</definedName>
    <definedName name="l">#REF!</definedName>
    <definedName name="P">#REF!</definedName>
    <definedName name="_xlnm.Print_Titles" localSheetId="5">BOQ.!$1:$8</definedName>
    <definedName name="_xlnm.Print_Titles" localSheetId="1">ปร.4!$1:$9</definedName>
    <definedName name="RumbleStrip">[1]Form2!$A$3128</definedName>
    <definedName name="Trailer_B\TON">[1]Form1!$BL$212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2" l="1"/>
  <c r="I131" i="1" l="1"/>
  <c r="I132" i="1"/>
  <c r="I133" i="1"/>
  <c r="I134" i="1"/>
  <c r="I136" i="1" s="1"/>
  <c r="I137" i="1" s="1"/>
  <c r="E66" i="1" s="1"/>
  <c r="I66" i="1" s="1"/>
  <c r="I68" i="1" s="1"/>
  <c r="C3" i="5"/>
  <c r="C2" i="5"/>
  <c r="O6" i="3"/>
  <c r="L6" i="9" s="1"/>
  <c r="G8" i="3"/>
  <c r="E8" i="9" s="1"/>
  <c r="R7" i="3"/>
  <c r="M7" i="9" s="1"/>
  <c r="L7" i="3"/>
  <c r="H7" i="9" s="1"/>
  <c r="E7" i="3"/>
  <c r="D7" i="9" s="1"/>
  <c r="E6" i="3"/>
  <c r="D6" i="9" s="1"/>
  <c r="E5" i="3"/>
  <c r="D5" i="9" s="1"/>
  <c r="E4" i="3"/>
  <c r="D4" i="9" s="1"/>
  <c r="I64" i="1"/>
  <c r="G66" i="1" s="1"/>
  <c r="I70" i="1"/>
  <c r="I67" i="1"/>
  <c r="I69" i="1" s="1"/>
  <c r="I71" i="1"/>
  <c r="I72" i="1"/>
  <c r="I73" i="1"/>
  <c r="I74" i="1"/>
  <c r="I75" i="1"/>
  <c r="I23" i="1"/>
  <c r="I24" i="1"/>
  <c r="F13" i="2"/>
  <c r="G13" i="2" s="1"/>
  <c r="I31" i="1"/>
  <c r="I32" i="1" s="1"/>
  <c r="I34" i="1" s="1"/>
  <c r="I35" i="1" s="1"/>
  <c r="F14" i="2" s="1"/>
  <c r="G14" i="2" s="1"/>
  <c r="F16" i="2"/>
  <c r="G16" i="2" s="1"/>
  <c r="I45" i="1"/>
  <c r="I46" i="1" s="1"/>
  <c r="I48" i="1" s="1"/>
  <c r="I49" i="1" s="1"/>
  <c r="F17" i="2" s="1"/>
  <c r="G17" i="2" s="1"/>
  <c r="I52" i="1"/>
  <c r="I55" i="1" s="1"/>
  <c r="I56" i="1" s="1"/>
  <c r="I57" i="1"/>
  <c r="I83" i="1"/>
  <c r="I84" i="1"/>
  <c r="I85" i="1"/>
  <c r="I86" i="1"/>
  <c r="I87" i="1"/>
  <c r="I88" i="1"/>
  <c r="I89" i="1"/>
  <c r="I96" i="1"/>
  <c r="I97" i="1"/>
  <c r="I98" i="1"/>
  <c r="I99" i="1"/>
  <c r="I100" i="1"/>
  <c r="I107" i="1"/>
  <c r="I108" i="1"/>
  <c r="I109" i="1"/>
  <c r="I151" i="1"/>
  <c r="I152" i="1"/>
  <c r="I153" i="1"/>
  <c r="I154" i="1"/>
  <c r="I172" i="1"/>
  <c r="I173" i="1"/>
  <c r="I174" i="1"/>
  <c r="I175" i="1"/>
  <c r="I176" i="1"/>
  <c r="I177" i="1"/>
  <c r="I178" i="1"/>
  <c r="I179" i="1"/>
  <c r="I183" i="1"/>
  <c r="I186" i="1" s="1"/>
  <c r="I184" i="1"/>
  <c r="I185" i="1"/>
  <c r="G33" i="2"/>
  <c r="G35" i="2"/>
  <c r="G36" i="2"/>
  <c r="G37" i="2"/>
  <c r="O11" i="3"/>
  <c r="H36" i="2" s="1"/>
  <c r="I245" i="1"/>
  <c r="I247" i="1" s="1"/>
  <c r="D247" i="1"/>
  <c r="G263" i="1"/>
  <c r="I211" i="1"/>
  <c r="G261" i="1" s="1"/>
  <c r="I203" i="1"/>
  <c r="F204" i="1"/>
  <c r="I204" i="1"/>
  <c r="F205" i="1"/>
  <c r="I205" i="1"/>
  <c r="I196" i="1"/>
  <c r="I197" i="1"/>
  <c r="I198" i="1"/>
  <c r="I199" i="1"/>
  <c r="I200" i="1" s="1"/>
  <c r="I201" i="1" s="1"/>
  <c r="G259" i="1" s="1"/>
  <c r="F221" i="1"/>
  <c r="I221" i="1" s="1"/>
  <c r="F227" i="1"/>
  <c r="I226" i="1"/>
  <c r="I227" i="1"/>
  <c r="I220" i="1"/>
  <c r="I222" i="1"/>
  <c r="F211" i="1"/>
  <c r="F236" i="1"/>
  <c r="I236" i="1" s="1"/>
  <c r="I237" i="1" s="1"/>
  <c r="I251" i="1"/>
  <c r="I252" i="1"/>
  <c r="I253" i="1"/>
  <c r="I240" i="1"/>
  <c r="I235" i="1"/>
  <c r="H13" i="2"/>
  <c r="E3" i="3"/>
  <c r="D3" i="9" s="1"/>
  <c r="B13" i="9" s="1"/>
  <c r="I158" i="1"/>
  <c r="I159" i="1"/>
  <c r="I162" i="1" s="1"/>
  <c r="I163" i="1" s="1"/>
  <c r="I166" i="1" s="1"/>
  <c r="I167" i="1" s="1"/>
  <c r="I160" i="1"/>
  <c r="I161" i="1"/>
  <c r="I165" i="1"/>
  <c r="I140" i="1"/>
  <c r="I141" i="1"/>
  <c r="I145" i="1" s="1"/>
  <c r="I146" i="1" s="1"/>
  <c r="I142" i="1"/>
  <c r="I143" i="1"/>
  <c r="I122" i="1"/>
  <c r="I123" i="1"/>
  <c r="I127" i="1" s="1"/>
  <c r="I128" i="1" s="1"/>
  <c r="I124" i="1"/>
  <c r="I125" i="1"/>
  <c r="D19" i="6"/>
  <c r="D18" i="6" s="1"/>
  <c r="D3" i="6"/>
  <c r="D2" i="6" s="1"/>
  <c r="D10" i="6"/>
  <c r="I248" i="1" l="1"/>
  <c r="I249" i="1" s="1"/>
  <c r="G264" i="1" s="1"/>
  <c r="E248" i="1"/>
  <c r="I206" i="1"/>
  <c r="I101" i="1"/>
  <c r="I102" i="1" s="1"/>
  <c r="I103" i="1" s="1"/>
  <c r="F23" i="2" s="1"/>
  <c r="G23" i="2" s="1"/>
  <c r="J23" i="2" s="1"/>
  <c r="I254" i="1"/>
  <c r="I255" i="1" s="1"/>
  <c r="I223" i="1"/>
  <c r="I180" i="1"/>
  <c r="I110" i="1"/>
  <c r="I111" i="1" s="1"/>
  <c r="I112" i="1" s="1"/>
  <c r="F24" i="2" s="1"/>
  <c r="G24" i="2" s="1"/>
  <c r="J24" i="2" s="1"/>
  <c r="I90" i="1"/>
  <c r="I91" i="1" s="1"/>
  <c r="I92" i="1" s="1"/>
  <c r="F22" i="2" s="1"/>
  <c r="G22" i="2" s="1"/>
  <c r="I76" i="1"/>
  <c r="I77" i="1" s="1"/>
  <c r="I78" i="1" s="1"/>
  <c r="F21" i="2" s="1"/>
  <c r="G21" i="2" s="1"/>
  <c r="I58" i="1"/>
  <c r="I59" i="1" s="1"/>
  <c r="F19" i="2" s="1"/>
  <c r="G19" i="2" s="1"/>
  <c r="I25" i="1"/>
  <c r="I26" i="1" s="1"/>
  <c r="F11" i="2" s="1"/>
  <c r="G11" i="2" s="1"/>
  <c r="H24" i="2"/>
  <c r="H17" i="2"/>
  <c r="I17" i="2" s="1"/>
  <c r="I188" i="1"/>
  <c r="I189" i="1" s="1"/>
  <c r="F30" i="2" s="1"/>
  <c r="G30" i="2" s="1"/>
  <c r="F207" i="1"/>
  <c r="I207" i="1"/>
  <c r="I208" i="1" s="1"/>
  <c r="G260" i="1" s="1"/>
  <c r="G262" i="1"/>
  <c r="G265" i="1" s="1"/>
  <c r="G266" i="1" s="1"/>
  <c r="F200" i="1"/>
  <c r="I155" i="1"/>
  <c r="I156" i="1" s="1"/>
  <c r="F29" i="2" s="1"/>
  <c r="G29" i="2" s="1"/>
  <c r="H23" i="2"/>
  <c r="H19" i="2"/>
  <c r="H11" i="2"/>
  <c r="H37" i="2"/>
  <c r="I37" i="2" s="1"/>
  <c r="H21" i="2"/>
  <c r="H14" i="2"/>
  <c r="J14" i="2" s="1"/>
  <c r="H30" i="2"/>
  <c r="I30" i="2" s="1"/>
  <c r="H35" i="2"/>
  <c r="I35" i="2" s="1"/>
  <c r="H22" i="2"/>
  <c r="H16" i="2"/>
  <c r="J16" i="2" s="1"/>
  <c r="H29" i="2"/>
  <c r="H33" i="2"/>
  <c r="I33" i="2" s="1"/>
  <c r="I36" i="2"/>
  <c r="J36" i="2"/>
  <c r="J30" i="2"/>
  <c r="J13" i="2"/>
  <c r="I16" i="2"/>
  <c r="J37" i="2"/>
  <c r="I13" i="2"/>
  <c r="I23" i="2" l="1"/>
  <c r="I24" i="2"/>
  <c r="I22" i="2"/>
  <c r="J21" i="2"/>
  <c r="J19" i="2"/>
  <c r="I19" i="2"/>
  <c r="I44" i="2"/>
  <c r="K11" i="3" s="1"/>
  <c r="R11" i="3" s="1"/>
  <c r="R18" i="3" s="1"/>
  <c r="F19" i="3" s="1"/>
  <c r="I11" i="2"/>
  <c r="J17" i="2"/>
  <c r="I29" i="2"/>
  <c r="J11" i="2"/>
  <c r="I14" i="2"/>
  <c r="J33" i="2"/>
  <c r="I21" i="2"/>
  <c r="J35" i="2"/>
  <c r="J22" i="2"/>
  <c r="J29" i="2"/>
  <c r="L13" i="9" l="1"/>
  <c r="L18" i="9" s="1"/>
  <c r="B20" i="9" s="1"/>
  <c r="G21" i="3"/>
  <c r="J26" i="2"/>
  <c r="J27" i="2" s="1"/>
  <c r="J38" i="2" s="1"/>
</calcChain>
</file>

<file path=xl/sharedStrings.xml><?xml version="1.0" encoding="utf-8"?>
<sst xmlns="http://schemas.openxmlformats.org/spreadsheetml/2006/main" count="939" uniqueCount="355">
  <si>
    <t>รายการ</t>
  </si>
  <si>
    <t>หน่วย</t>
  </si>
  <si>
    <t>หมายเหตุ</t>
  </si>
  <si>
    <t>ลบ.ม.</t>
  </si>
  <si>
    <t>วันที่</t>
  </si>
  <si>
    <t xml:space="preserve"> =</t>
  </si>
  <si>
    <t xml:space="preserve">  บาท/ตร.ม.</t>
  </si>
  <si>
    <t xml:space="preserve"> บาท/ลบ.ม.(หลวม)</t>
  </si>
  <si>
    <t xml:space="preserve"> บาท/ลบ.ม.(แน่น)</t>
  </si>
  <si>
    <t>อัตราการยุบตัว  1.6 (งานลูกรัง)</t>
  </si>
  <si>
    <t xml:space="preserve"> - ค่าท่อ คสล. พร้อมขนส่งถึงหน้างาน</t>
  </si>
  <si>
    <t>บาท/ท่อน</t>
  </si>
  <si>
    <t xml:space="preserve"> - ค่าทรายถมหลังท่อ </t>
  </si>
  <si>
    <t>บาท</t>
  </si>
  <si>
    <t xml:space="preserve"> - ค่าคอนกรีตหยาบ</t>
  </si>
  <si>
    <t xml:space="preserve"> - งานยาแนวท่อ</t>
  </si>
  <si>
    <t xml:space="preserve"> - ค่าดำเนินการ</t>
  </si>
  <si>
    <t>ราคาต่อเมตร</t>
  </si>
  <si>
    <t>... ค่างานต้นทุนวางท่อ Ø 0.60 ม. ต่อ 1 เมตร</t>
  </si>
  <si>
    <t>กก.</t>
  </si>
  <si>
    <t>ตร.ม.</t>
  </si>
  <si>
    <t xml:space="preserve"> บาท/ตร.ม.</t>
  </si>
  <si>
    <t>ลำดับที่</t>
  </si>
  <si>
    <t>จำนวน</t>
  </si>
  <si>
    <t>ราคาต่อหน่วย</t>
  </si>
  <si>
    <t>ราคาทุน</t>
  </si>
  <si>
    <t>ราคากลาง</t>
  </si>
  <si>
    <t>ฝ่าย/งาน</t>
  </si>
  <si>
    <t xml:space="preserve">□ </t>
  </si>
  <si>
    <t xml:space="preserve">สถานที่ก่อสร้าง </t>
  </si>
  <si>
    <t xml:space="preserve">แบบเลขที่     </t>
  </si>
  <si>
    <t>รายการเลขที่</t>
  </si>
  <si>
    <t>ประมาณราคาเมื่อวันที่</t>
  </si>
  <si>
    <t>ค่าวัสดุและค่าแรงงาน
จำนวนเงิน / บาท</t>
  </si>
  <si>
    <t>FACTOR  F</t>
  </si>
  <si>
    <t>รวมค่าก่อสร้าง
เป็นเงิน/บาท</t>
  </si>
  <si>
    <t>ประเภทงานทาง</t>
  </si>
  <si>
    <t>เงื่อนไข</t>
  </si>
  <si>
    <t>เงินล่วงหน้าจ่าย….……</t>
  </si>
  <si>
    <t>เงินประกันผลงานหัก..…</t>
  </si>
  <si>
    <t>ดอกเบี้ยเงินกู้……….…..</t>
  </si>
  <si>
    <t>ค่าภาษีมูลค่าเพิ่ม………</t>
  </si>
  <si>
    <t>สรุป</t>
  </si>
  <si>
    <t xml:space="preserve">   รวมค่าก่อสร้างเป็นเงินทั้งสิ้น</t>
  </si>
  <si>
    <r>
      <t xml:space="preserve">   คิดเป็นเงินประมาณ</t>
    </r>
    <r>
      <rPr>
        <sz val="10"/>
        <rFont val="Arial"/>
      </rPr>
      <t/>
    </r>
  </si>
  <si>
    <t>**</t>
  </si>
  <si>
    <t>ขนาดเนื้อที่ประมาณ</t>
  </si>
  <si>
    <t>ตารางเมตร</t>
  </si>
  <si>
    <t>เฉลี่ยราคาประมาณ</t>
  </si>
  <si>
    <t>บาท / ตารางเมตร</t>
  </si>
  <si>
    <t>สถานที่ก่อสร้าง</t>
  </si>
  <si>
    <t xml:space="preserve">แบบเลขที่    </t>
  </si>
  <si>
    <t xml:space="preserve">รายการเลขที่  </t>
  </si>
  <si>
    <t>สำนักงาน/กอง</t>
  </si>
  <si>
    <t>กรม</t>
  </si>
  <si>
    <t>ประมาณการโดย</t>
  </si>
  <si>
    <t>ม.</t>
  </si>
  <si>
    <t>บริษัท/ห้างหุ้นส่วนจำกัด</t>
  </si>
  <si>
    <t>รวมยอยเงิน</t>
  </si>
  <si>
    <t xml:space="preserve"> - รวมยอดเงิน</t>
  </si>
  <si>
    <t xml:space="preserve"> - ขอเสนอราคาเป็นเงินทั้งสิ้น</t>
  </si>
  <si>
    <t>ค่า Factor F งานก่อสร้างทาง</t>
  </si>
  <si>
    <t>ค่า Factor F ของค่างานต้นทุน A = D-[(D-E)x(A-B)/(C-B)]</t>
  </si>
  <si>
    <t>A = ค่างานต้นทุนที่ต้องการหา Factor F</t>
  </si>
  <si>
    <t>B = ค่างานต้นทุนขั้นต่ำของช่วงค่างานต้นทุน</t>
  </si>
  <si>
    <t>C = ค่างานต้นทุนขั้นสูงของช่วงค่างานต้นทุน</t>
  </si>
  <si>
    <t>D = ค่า Factor F ของค่างานต้นทุนขั้นต่ำ</t>
  </si>
  <si>
    <t>E = ค่า Factor F ของค่างานต้นทุนขั้นสูง</t>
  </si>
  <si>
    <t>ค่า Factor F งานก่อสร้างสะพานและท่อลอดเหลี่ยม</t>
  </si>
  <si>
    <t>สำนัก/กอง</t>
  </si>
  <si>
    <t>เมื่อวันที่</t>
  </si>
  <si>
    <t>กลุ่มงาน/งาน</t>
  </si>
  <si>
    <t>ชื่อโครงการ/งาน</t>
  </si>
  <si>
    <t>คำนวณราคากลางเมื่อวันที่</t>
  </si>
  <si>
    <t>หน่วย:บาท</t>
  </si>
  <si>
    <t>ค่าก่อสร้าง/บาท</t>
  </si>
  <si>
    <r>
      <t xml:space="preserve"> </t>
    </r>
    <r>
      <rPr>
        <b/>
        <u/>
        <sz val="16"/>
        <rFont val="TH SarabunPSK"/>
        <family val="2"/>
      </rPr>
      <t>สรุปผลดังนี้</t>
    </r>
    <r>
      <rPr>
        <b/>
        <sz val="16"/>
        <rFont val="TH SarabunPSK"/>
        <family val="2"/>
      </rPr>
      <t xml:space="preserve"> ;</t>
    </r>
  </si>
  <si>
    <t xml:space="preserve"> - ขอตั้งงบประมาณค่าก่อสร้างเป็นเงินทั้งสิ้น</t>
  </si>
  <si>
    <t>สรุปผลการประมาณราคา</t>
  </si>
  <si>
    <t>คำนวณราคาเมื่อวันที่</t>
  </si>
  <si>
    <t xml:space="preserve"> บาท/ลบ.ม.</t>
  </si>
  <si>
    <t>1. งานกรุยทาง</t>
  </si>
  <si>
    <t xml:space="preserve">    ขนาดเบา</t>
  </si>
  <si>
    <t xml:space="preserve">    ขนาดกลาง</t>
  </si>
  <si>
    <t xml:space="preserve">    ขนาดหนัก</t>
  </si>
  <si>
    <t>2. งานขุดรื้อคันทางเดิมแล้วบดทับ</t>
  </si>
  <si>
    <t xml:space="preserve">    ลูกรัง  10  ซม.</t>
  </si>
  <si>
    <t xml:space="preserve">    หินคลุก  10  ซม.</t>
  </si>
  <si>
    <t xml:space="preserve">    ผิว  AC 5 ซม.</t>
  </si>
  <si>
    <t>ชุด</t>
  </si>
  <si>
    <t>FN</t>
  </si>
  <si>
    <t>ราคาต่อหน่วย x FN</t>
  </si>
  <si>
    <t xml:space="preserve"> - ค่าอำนวยการ ค่าความผันผวน ค่าดอกเบี้ย ค่ากำไร ค่าภาษีมูลค่าเพิ่ม และอื่นๆ เป็นเงินทั้งสิ้น</t>
  </si>
  <si>
    <t>รวมยอดเฉพาะแผ่น</t>
  </si>
  <si>
    <t>รวมยอดยกมา</t>
  </si>
  <si>
    <t xml:space="preserve"> - ตัวอักษร                  (..................................................................................................................................................................................)</t>
  </si>
  <si>
    <t>บัญชีแสดงปริมาณวัสดุและราคาค่าก่อสร้าง (BOQ.)</t>
  </si>
  <si>
    <t>โครงการ/งาน</t>
  </si>
  <si>
    <t>คำนวณราคาโดย</t>
  </si>
  <si>
    <t>แบบสรุปราคากลางงานก่อสร้างทาง สะพาน และท่อเหลี่ยม</t>
  </si>
  <si>
    <t>ค่า Factor F งานก่อสร้างอาคาร</t>
  </si>
  <si>
    <t>ลบ.ม. @</t>
  </si>
  <si>
    <t xml:space="preserve">    - ปูนซิเมนต์ เผื่อ 5%</t>
  </si>
  <si>
    <t>@</t>
  </si>
  <si>
    <t xml:space="preserve">    - ทราย  เผื่อ 20%</t>
  </si>
  <si>
    <t xml:space="preserve">    - หิน 1-2 เผื่อ 15%</t>
  </si>
  <si>
    <t xml:space="preserve">    - น้ำผสมคอนกรีต</t>
  </si>
  <si>
    <t>ลิตร</t>
  </si>
  <si>
    <t xml:space="preserve">    - ค่าแรงงาน ผสมและเท</t>
  </si>
  <si>
    <t xml:space="preserve">    ค่าใช้จ่ายรวม</t>
  </si>
  <si>
    <t xml:space="preserve">    ค่างานต้นทุน</t>
  </si>
  <si>
    <t xml:space="preserve"> บาท</t>
  </si>
  <si>
    <t>กก. @</t>
  </si>
  <si>
    <t>(บาท/กก.)</t>
  </si>
  <si>
    <t xml:space="preserve">    - ไม้กระบากหรือไม้ยางหรือเทียบเท่า</t>
  </si>
  <si>
    <t>ลบ.ฟ.</t>
  </si>
  <si>
    <t xml:space="preserve">    - ไม้อัดยางหนา 4 มม.</t>
  </si>
  <si>
    <t xml:space="preserve">    - ไม้เคร่า</t>
  </si>
  <si>
    <t xml:space="preserve">    - ตะปู</t>
  </si>
  <si>
    <t xml:space="preserve"> - รวมค่างานไม้แบบ</t>
  </si>
  <si>
    <t xml:space="preserve">    - ลดค่าวัสดุไม้เนื่องจากการใช้งานประมาณ 3 ครั้ง</t>
  </si>
  <si>
    <t xml:space="preserve">    - ค่าแรงประกอบแบบ</t>
  </si>
  <si>
    <t xml:space="preserve">    - ค่าน้ำมันทาผิวไม้</t>
  </si>
  <si>
    <t xml:space="preserve">    - ค่าใช้จ่ายรวม</t>
  </si>
  <si>
    <t xml:space="preserve">    - ค่างานต้นทุน</t>
  </si>
  <si>
    <t>ตร.ม. @</t>
  </si>
  <si>
    <t xml:space="preserve">        - คอนกรีต ค.2 </t>
  </si>
  <si>
    <t xml:space="preserve">        - เหล็กเสริม    </t>
  </si>
  <si>
    <t xml:space="preserve">        - ลวดผูกเหล็ก   </t>
  </si>
  <si>
    <t xml:space="preserve">        - ไม้แบบ (3)</t>
  </si>
  <si>
    <t xml:space="preserve">        - ขุดดิน(ประมาณ) </t>
  </si>
  <si>
    <t>ม. @</t>
  </si>
  <si>
    <t xml:space="preserve">        - คอนกรีตหยาบ</t>
  </si>
  <si>
    <t xml:space="preserve">        - ทราหยาบอัดแน่น</t>
  </si>
  <si>
    <t xml:space="preserve">      ข.ฝาปิด (ตะแกรงเหล็ก)</t>
  </si>
  <si>
    <t xml:space="preserve">        - แผ่นเหล็ก 50x5 มม.</t>
  </si>
  <si>
    <t xml:space="preserve">        - แผ่นเหล็ก 100x10 มม.</t>
  </si>
  <si>
    <t xml:space="preserve">        - ทาสีกันสนิม</t>
  </si>
  <si>
    <t>รวมค่าใช้จ่าย</t>
  </si>
  <si>
    <t xml:space="preserve"> บาท/ม.</t>
  </si>
  <si>
    <t>วัสดุ</t>
  </si>
  <si>
    <t>ค่าแรง</t>
  </si>
  <si>
    <t>ค่างานต้นทุน (R.C.DITCH)</t>
  </si>
  <si>
    <t xml:space="preserve">         คิดจากจำนวน 1 ฝา </t>
  </si>
  <si>
    <t xml:space="preserve"> บาท/EACH</t>
  </si>
  <si>
    <t xml:space="preserve">        - เหล็กฉาก 50x50x6มม.</t>
  </si>
  <si>
    <t xml:space="preserve">      ก.คิดจากความ (ไม่รวมฝาเปิด) H = 1.00 m.</t>
  </si>
  <si>
    <t>รายการประมาณราคาต่อหน่วย</t>
  </si>
  <si>
    <t>โครงการ</t>
  </si>
  <si>
    <t>ก่อสร้างถนนคอนกรีตเสริมเหล็ก</t>
  </si>
  <si>
    <t>สถานที่</t>
  </si>
  <si>
    <t>ราคาน้ำมันโซล่า</t>
  </si>
  <si>
    <t>บาท/ลิตร</t>
  </si>
  <si>
    <t xml:space="preserve">    ค่าวัสดุที่แหล่ง  (ลูกรัง)</t>
  </si>
  <si>
    <t xml:space="preserve">    ค่าดำเนินการ+เสื่อมราคา (ขุด-ขน)</t>
  </si>
  <si>
    <t xml:space="preserve"> บาท/ลบ.ม.(หลวม)        </t>
  </si>
  <si>
    <t xml:space="preserve">    ค่าขนส่ง  ระยะทาง 21 กม.</t>
  </si>
  <si>
    <t xml:space="preserve">    รวม</t>
  </si>
  <si>
    <t xml:space="preserve">    ค่าดำเนินการ+ค่าเสื่อมราคา (บดทับ)</t>
  </si>
  <si>
    <t xml:space="preserve">    ค่างนต้นทุน</t>
  </si>
  <si>
    <r>
      <t xml:space="preserve">    ค่าวัสดุจากแหล่ง</t>
    </r>
    <r>
      <rPr>
        <sz val="12"/>
        <rFont val="TH SarabunPSK"/>
        <family val="2"/>
      </rPr>
      <t>(ใช้ราคา=(ราคาทรายคอนกรีต+ทรายถม)/2)</t>
    </r>
  </si>
  <si>
    <t xml:space="preserve">    ค่าดำเนินการ+ค่าเสื่อมราคา (ขุด-ขน)</t>
  </si>
  <si>
    <t xml:space="preserve">ส่วนยุบตัว 1.4  </t>
  </si>
  <si>
    <t xml:space="preserve">    ค่าดำเนิการ+ค่าเสื่อมราคา(บดทับ75%)</t>
  </si>
  <si>
    <t>ตามแบบมาตรฐาน ทถ.-2-201(1),ทถ-2-202 PANEL SIZE 5.00 X………... M.</t>
  </si>
  <si>
    <t>ปริมาณงานทั้งโครงการ</t>
  </si>
  <si>
    <t>ค่าติดตั้งเครื่องผสม 150,000 บาท.....</t>
  </si>
  <si>
    <t xml:space="preserve"> บาท/ครั้ง</t>
  </si>
  <si>
    <t>กรณีที่ปริมาณงานทั้งโครงการน้อยกว่า 5,000 ลบ.ม. ให้ใช้ปริมาณงาน 5,000 ลบ.ม.</t>
  </si>
  <si>
    <t xml:space="preserve">ค่าคอนกรีต+ค่าติดตั้งเครื่องผสม   = </t>
  </si>
  <si>
    <t xml:space="preserve"> +</t>
  </si>
  <si>
    <t xml:space="preserve">คิดจากพื้นที่ </t>
  </si>
  <si>
    <t>หนา</t>
  </si>
  <si>
    <t>บาท/1 กม.</t>
  </si>
  <si>
    <t>ค่าเหล็ก wrimash = 50 ตร.ม.x…..@....</t>
  </si>
  <si>
    <t>ค่าวางเหล็ก wrimash = 50 ตร.ม.x…..@....</t>
  </si>
  <si>
    <t>ค่าแบบเหล็ก (2x10)x…..@.....</t>
  </si>
  <si>
    <t>ค่าปูผิวคอนกรีต 50x…..@.....</t>
  </si>
  <si>
    <t>ค่าบ่มผิวคอนกรีต 50x…..@.....</t>
  </si>
  <si>
    <t>ค่าขัดหยาบผิวคอนกรีต 50x…..@.....</t>
  </si>
  <si>
    <t xml:space="preserve">    ค่างานต้นทุน ………@........../50</t>
  </si>
  <si>
    <t xml:space="preserve">    คิดเพียง</t>
  </si>
  <si>
    <t xml:space="preserve">    คิดจากความยาว 10.00 ม.</t>
  </si>
  <si>
    <t xml:space="preserve">   ค่าเหล็ก </t>
  </si>
  <si>
    <t>RB 19 mm. 35.68กก. @ …</t>
  </si>
  <si>
    <t>METAL CAP+ทาสี+จาระบี 32 ชุด@ …..</t>
  </si>
  <si>
    <t>JOINT FILLER 1.00 ตร.ม. @ …………….</t>
  </si>
  <si>
    <t>JOINT SEALER 6.24  ลิตร @................</t>
  </si>
  <si>
    <t>ค่าหยอดยาง 10.00 ม. @.......................</t>
  </si>
  <si>
    <t>แผ่นพลาสติก 10.00 ม. @...........................</t>
  </si>
  <si>
    <t>ไม้แบบ 0.75 ตร.ม. @ ……………….</t>
  </si>
  <si>
    <t xml:space="preserve"> = </t>
  </si>
  <si>
    <t>ค่าใช้จ่ายรวม</t>
  </si>
  <si>
    <t xml:space="preserve">ค่าเหล็ก </t>
  </si>
  <si>
    <t>ทาสี+จาระบี 32 ชุด@ …..</t>
  </si>
  <si>
    <t>ค่าตัด JOINT และหยอดยาง 10.00 ม.@ ….</t>
  </si>
  <si>
    <t>JOINT SEALER 3.75  ลิตร @....................</t>
  </si>
  <si>
    <t>แผ่นพลาสติก 10 ม. @................................</t>
  </si>
  <si>
    <t>DB 12 mm. 8.88กก. @ ……</t>
  </si>
  <si>
    <t xml:space="preserve">    ขนาด Ø 0.60 ม. x 1.00 ม.</t>
  </si>
  <si>
    <t>กองช่าง  เทศบาลตำบลเขาฉกรรจ์</t>
  </si>
  <si>
    <t>ตำบลเขาฉกรรจ์ อำเภอเขาฉกรรจ์ จังหวัดสระแก้ว</t>
  </si>
  <si>
    <t xml:space="preserve">    ค่าขนส่ง  ระยะทาง ………. กม.</t>
  </si>
  <si>
    <t xml:space="preserve">    ค่าดาเนินการ + ค่าเสื่อมราคา (งานตัด - ขึ้นรูปคันทาง : ดิน - ตัก................)</t>
  </si>
  <si>
    <t xml:space="preserve">    ค่าดาเนินการ + ค่าเสื่อมราคา (งานตัด - ขึ้นรูปคันทาง : ดิน - ขุดตัด...........)</t>
  </si>
  <si>
    <t>อัตราส่วนขยาย  1.25 (งานดิน)</t>
  </si>
  <si>
    <t>3. งานรื้อผิวลาดยางเดิม (REMOVAL OF EXISTING ASPHALT CONCRETE SURFACE)</t>
  </si>
  <si>
    <t xml:space="preserve">    คิดจากความหนาของผิวทางแอสฟัลต์คอนกรีต = 5 ซม.</t>
  </si>
  <si>
    <t xml:space="preserve">    ค่าดาเนินการ + ค่าเสื่อม (ผิว AC 5 ซม)</t>
  </si>
  <si>
    <t xml:space="preserve">    คิดจากพื้นที่ 1 ตร.ม.</t>
  </si>
  <si>
    <t xml:space="preserve">    ปริมาตรวัสดุที่รื้อออก = 0.05 ลบ.ม.</t>
  </si>
  <si>
    <t xml:space="preserve">    ส่วนขยาย = 0.05 x 1.60 = 0.08 ลบ.ม.</t>
  </si>
  <si>
    <t xml:space="preserve">    ค่าขนทิ้ง........1........กม.</t>
  </si>
  <si>
    <t xml:space="preserve">    ขนทิ้ง.....1.....กม.=0.08 X</t>
  </si>
  <si>
    <t xml:space="preserve">    ค่าดาเนินการ + ค่าเสื่อม (หินผุ - ดันและตัก.....)=0.08 X</t>
  </si>
  <si>
    <t>4. งานตัดดิน (EARTH EXCAVATION)</t>
  </si>
  <si>
    <t>5. งานวัสดุพื้นรองทาง</t>
  </si>
  <si>
    <t>6. งานทรายรองใต้ผิวทางคอนกรีต(SAND CUSHION UNDER CONCRETE PAVEMENT)</t>
  </si>
  <si>
    <t>7. งานผิวทางปอร์ตแลนด์ซิเมนต์คอนกรีตหนา 15 ซม.(PORTLAND CEMENT CONCRETE PAVEMENT 15 CM.(THICK)</t>
  </si>
  <si>
    <t>8. งานรอยต่อเผื่อขยายตามขวาง (EXPANSION JOINT)</t>
  </si>
  <si>
    <t>9. งานรอยต่อเผื่อหดตามขวาง (CONTRACTION JOINT)</t>
  </si>
  <si>
    <t>10. งานรอยต่อตามยาว (LONGITUDINAL JOINT)</t>
  </si>
  <si>
    <t>11. งานคอนกรีต ค.2</t>
  </si>
  <si>
    <t>12. งานคอนกรีต ค.3</t>
  </si>
  <si>
    <t>13. งานคอนกรีตหยาบ 1:3:5</t>
  </si>
  <si>
    <t>14. งานท่อลอดกลม คสล.</t>
  </si>
  <si>
    <t>15. ไม้แบบงานสะพานและท่อลอดเหลี่ยมหรือไม้แบบ(3) (พื้นที่ 1 ตารางเมตร)</t>
  </si>
  <si>
    <t>16. งานบ่อพักรับน้ำน้ำคอนกรีตเสริมเหล็ก</t>
  </si>
  <si>
    <t>1.1 งานรื้อผิวลาดยางเดิม</t>
  </si>
  <si>
    <t>งานรื้อโครงสร้างถนนเดิม (REMOVAL OF EXISTING STRUCTURES)</t>
  </si>
  <si>
    <t>2.2 งานตัดดิน (EARTH EXCAVATION)</t>
  </si>
  <si>
    <t>2.1 งานถางป่าและขุดตอ ขนาดเบา (CLEARING AND GRUBBING)</t>
  </si>
  <si>
    <t>งานรองพื้นทางและพื้นทาง (SUBBASE AND BASE COURSES)</t>
  </si>
  <si>
    <t>งานวัสดุรองใต้ผิวทางคอนกรีต</t>
  </si>
  <si>
    <t>4.1 งานทรายรองใต้ผิวทางคอนกรีต</t>
  </si>
  <si>
    <t>3.1 งานรื้อชั้นทางเดิมและก่อสร้างใหม่ หนา.10.ซม.</t>
  </si>
  <si>
    <t>งานผิวทางปอร์ตแลนด์ซีเมนต์คอนกรีต</t>
  </si>
  <si>
    <t>5.1 ผิวทางปอร์ตแลนด์ซีเมนต์คอนกรีตหนา 15 ซม.(ใช้ตะแกรงเหล็ก)</t>
  </si>
  <si>
    <t>5.2 รอยต่อเผื่อขยายตามขวาง (EXPANSION JOINT)</t>
  </si>
  <si>
    <t>5.3 รอยต่อเผื่อหดตามขวาง (CONTRACTION JOINT)</t>
  </si>
  <si>
    <t>5.4 รอยต่อตามยาว (LONGITUDINAL JOINT)</t>
  </si>
  <si>
    <t>งานโครงสร้าง (STRUCTURES)</t>
  </si>
  <si>
    <t>ผลรวมค่างานต้นทุนงานก่อสร้างทาง</t>
  </si>
  <si>
    <t>ผลรวมค่างานต้นทุนงานก่อสร้างสะพานและท่อเหลี่ยม</t>
  </si>
  <si>
    <t>ผลรวมค่าใช้จ่ายพิเศษตามข้อกาหนดและค่าใช้จ่ายอื่นๆ</t>
  </si>
  <si>
    <t>ค่า Factor F งานก่อสร้างสะพานและท่อเหลี่ยม</t>
  </si>
  <si>
    <t>ส่วนราชการ     กองช่าง   เทศบาลตำบลเขาฉกรรจ์    กรมส่งเสริมการปกครองท้องถิ่น</t>
  </si>
  <si>
    <t>ส่วนราชการ กองช่าง เทศบาลตำบลเขาฉกรรจ์ กรมส่งเสริมการปกครองท้องถิ่น</t>
  </si>
  <si>
    <t>งานดิน (EARTHWORK)</t>
  </si>
  <si>
    <t>แห่ง</t>
  </si>
  <si>
    <t>3.2 งานรองพื้นทางวัสดุมวลรวม หนา..0.20..ม.</t>
  </si>
  <si>
    <t>6.1 งานท่อกลมคอนกรีตเสริมเหล็กขนาดเส้นผ่านศูนย์กลาง 0.60 ม. ชั้น........</t>
  </si>
  <si>
    <t>6.2 งานบ่อพักรับน้ำ สำหรับท่อกลมคอนกรีตเสริมเหล็ก Ø 0.60 ม.</t>
  </si>
  <si>
    <t>งานเบ็ดเตล็ด (MISCELLANEOUS)</t>
  </si>
  <si>
    <t>2.3) ค่าเครื่องกระเทาะผิวเดิม(คิดอายุการใช้งาน 5 ปี @ 150 วัน/ปี)</t>
  </si>
  <si>
    <t>2.3.1)ค่าเสื่อมราคา</t>
  </si>
  <si>
    <t>ราคาต้นทุน/(จำนวนวันต่อปี X 5ปี</t>
  </si>
  <si>
    <t>170,000 / (150 x 5)</t>
  </si>
  <si>
    <t>=</t>
  </si>
  <si>
    <t>บาท/วัน</t>
  </si>
  <si>
    <t xml:space="preserve"> - ราคาน้ำมันเชื้อเพลิง</t>
  </si>
  <si>
    <t>รวม</t>
  </si>
  <si>
    <t>2.3.2) ค่าเสื่อมราคา</t>
  </si>
  <si>
    <t>38,000/12,000</t>
  </si>
  <si>
    <t>คิดให้</t>
  </si>
  <si>
    <t>2.4) ค่าติดตั้งป้ายเครื่องหมายจราจร(ชั่วคราวระหว่างตีเส้น)</t>
  </si>
  <si>
    <t>2.5) ค่าแรง</t>
  </si>
  <si>
    <t>10 คน/วัน(2x300)+(2x250)+(6x180)</t>
  </si>
  <si>
    <t>รวมเป็นเงิน = (2.1)+(2.2)+(2.31)+(2.4)+(2.5)</t>
  </si>
  <si>
    <t xml:space="preserve"> - ค่ารถบริการ(ค่าเสื่อมราคา + ค่าน้ำมันเชื้อเพลิง)</t>
  </si>
  <si>
    <t>870+420</t>
  </si>
  <si>
    <t xml:space="preserve"> - ค่าเสื่อมราคาเครื่องวัดการสะท้อนแสง</t>
  </si>
  <si>
    <t>200x6</t>
  </si>
  <si>
    <t xml:space="preserve"> - ค่าแรงงาน</t>
  </si>
  <si>
    <t>(180x2)+ 300</t>
  </si>
  <si>
    <t xml:space="preserve"> - ค่าสี Thermoplastic (สีเหลือง และ สีขาว)</t>
  </si>
  <si>
    <t xml:space="preserve">         =</t>
  </si>
  <si>
    <t xml:space="preserve"> - ค่าลูกแก้ว</t>
  </si>
  <si>
    <t xml:space="preserve"> - ค่า Primer (กาวรองพื้น)</t>
  </si>
  <si>
    <t>รวมค่าวัสดุเผื่อสูญเสียวัสดุ 5%</t>
  </si>
  <si>
    <t xml:space="preserve"> - ค่าทดสอบการสะท้อนแสง</t>
  </si>
  <si>
    <t xml:space="preserve"> ต้นทุนต่อหน่วย</t>
  </si>
  <si>
    <t>15 ลิตร/ วัน  @</t>
  </si>
  <si>
    <r>
      <t>เฉลี่ย / m.</t>
    </r>
    <r>
      <rPr>
        <vertAlign val="superscript"/>
        <sz val="13"/>
        <rFont val="TH SarabunPSK"/>
        <family val="2"/>
      </rPr>
      <t>2</t>
    </r>
    <r>
      <rPr>
        <sz val="13"/>
        <rFont val="TH SarabunPSK"/>
        <family val="2"/>
      </rPr>
      <t xml:space="preserve"> = 3,150 / 600</t>
    </r>
  </si>
  <si>
    <t>1.1 ค่าสี Thermoplastic (เหลือง - ขาว)</t>
  </si>
  <si>
    <t>บาท/ตัน</t>
  </si>
  <si>
    <t>บาท/กก.</t>
  </si>
  <si>
    <t xml:space="preserve"> - ค่าขนส่ง ระยะทาง  230  กม.</t>
  </si>
  <si>
    <t xml:space="preserve"> - ค่าขน - ถ่าย</t>
  </si>
  <si>
    <t>ค่าสี Thermoplastic (เหลือง - ขาว)</t>
  </si>
  <si>
    <t>1.2) ค่าลูกแก้ว</t>
  </si>
  <si>
    <t>ค่าลูกแก้ว</t>
  </si>
  <si>
    <t xml:space="preserve">1.3) ค่า Primer (กาวรองพื้น) </t>
  </si>
  <si>
    <t>บาท/ปีบทาได้</t>
  </si>
  <si>
    <t>ค่ากาวรองพื้น</t>
  </si>
  <si>
    <t xml:space="preserve"> **สืบราคาสี Thermoplastic และลูกแก้วสะท้อนแสง  บริษัท สยามทราฟฟิค จำกัด 0-2294-0281-6</t>
  </si>
  <si>
    <t>1)</t>
  </si>
  <si>
    <t>สี Thermoplastic (สีเหลือง และขาว) ถุง 20 กก. = 800 บาท/ถุง</t>
  </si>
  <si>
    <t>2)</t>
  </si>
  <si>
    <t>ลูกแก้วสะท้อนแสง ถุง 25 กก. = 900 บาท/ถุง</t>
  </si>
  <si>
    <t>2.1) ค่ารถตีเส้น (คิดอายุการใช้งาน 5 ปี @ 150 วัน/ปี)</t>
  </si>
  <si>
    <t xml:space="preserve"> - ค่าเสื่อมราคา</t>
  </si>
  <si>
    <t>1,500,000/(150x5)</t>
  </si>
  <si>
    <t xml:space="preserve"> - ค่าน้ำมันเชื้อเพลิง</t>
  </si>
  <si>
    <t>40 ลิตร/วัน @</t>
  </si>
  <si>
    <t xml:space="preserve"> - ค่าแก๊ส</t>
  </si>
  <si>
    <t>1 ถัง/วัน @</t>
  </si>
  <si>
    <t>2.2) ค่ารถบริการ (คิดอายุการใช้งาน 5 ปี @ 150 วัน/ปี)</t>
  </si>
  <si>
    <t>650,000 / (150 x 5)</t>
  </si>
  <si>
    <t>30 ลิตร/วัน @</t>
  </si>
  <si>
    <r>
      <t>1.) ค่าวัสดุ ต่อ 1.00 m.</t>
    </r>
    <r>
      <rPr>
        <vertAlign val="superscript"/>
        <sz val="13"/>
        <rFont val="TH SarabunPSK"/>
        <family val="2"/>
      </rPr>
      <t>2</t>
    </r>
  </si>
  <si>
    <r>
      <t>บาท/ม.</t>
    </r>
    <r>
      <rPr>
        <vertAlign val="superscript"/>
        <sz val="13"/>
        <rFont val="TH SarabunPSK"/>
        <family val="2"/>
      </rPr>
      <t>2</t>
    </r>
  </si>
  <si>
    <r>
      <t>ม.</t>
    </r>
    <r>
      <rPr>
        <vertAlign val="superscript"/>
        <sz val="13"/>
        <rFont val="TH SarabunPSK"/>
        <family val="2"/>
      </rPr>
      <t>2</t>
    </r>
    <r>
      <rPr>
        <sz val="13"/>
        <rFont val="TH SarabunPSK"/>
        <family val="2"/>
      </rPr>
      <t>/ปีบ</t>
    </r>
  </si>
  <si>
    <r>
      <t>2.) ค่าดำเนินการ ต่อ 1.00 m.</t>
    </r>
    <r>
      <rPr>
        <vertAlign val="superscript"/>
        <sz val="13"/>
        <rFont val="TH SarabunPSK"/>
        <family val="2"/>
      </rPr>
      <t>2</t>
    </r>
    <r>
      <rPr>
        <sz val="13"/>
        <rFont val="TH SarabunPSK"/>
        <family val="2"/>
      </rPr>
      <t xml:space="preserve"> (คิดให้ 600  m.</t>
    </r>
    <r>
      <rPr>
        <vertAlign val="superscript"/>
        <sz val="13"/>
        <rFont val="TH SarabunPSK"/>
        <family val="2"/>
      </rPr>
      <t>2</t>
    </r>
    <r>
      <rPr>
        <sz val="13"/>
        <rFont val="TH SarabunPSK"/>
        <family val="2"/>
      </rPr>
      <t>/วัน)</t>
    </r>
  </si>
  <si>
    <r>
      <t>ราคาต้นทุน/(อายุการใช้งาน 12,000 m</t>
    </r>
    <r>
      <rPr>
        <vertAlign val="superscript"/>
        <sz val="13"/>
        <rFont val="TH SarabunPSK"/>
        <family val="2"/>
      </rPr>
      <t>2</t>
    </r>
    <r>
      <rPr>
        <sz val="13"/>
        <rFont val="TH SarabunPSK"/>
        <family val="2"/>
      </rPr>
      <t>/หัว</t>
    </r>
  </si>
  <si>
    <r>
      <t>เฉลี่ย / ม.</t>
    </r>
    <r>
      <rPr>
        <vertAlign val="superscript"/>
        <sz val="13"/>
        <rFont val="TH SarabunPSK"/>
        <family val="2"/>
      </rPr>
      <t>2</t>
    </r>
    <r>
      <rPr>
        <sz val="13"/>
        <rFont val="TH SarabunPSK"/>
        <family val="2"/>
      </rPr>
      <t xml:space="preserve"> =</t>
    </r>
  </si>
  <si>
    <r>
      <t>3.)ค่าทดสอบการสะท้อนแสง(100 m.</t>
    </r>
    <r>
      <rPr>
        <vertAlign val="superscript"/>
        <sz val="13"/>
        <rFont val="TH SarabunPSK"/>
        <family val="2"/>
      </rPr>
      <t>2</t>
    </r>
    <r>
      <rPr>
        <sz val="13"/>
        <rFont val="TH SarabunPSK"/>
        <family val="2"/>
      </rPr>
      <t>/ ครั้ง, คิด 6 ครั้ง/วัน = 600  m.</t>
    </r>
    <r>
      <rPr>
        <vertAlign val="superscript"/>
        <sz val="13"/>
        <rFont val="TH SarabunPSK"/>
        <family val="2"/>
      </rPr>
      <t>2</t>
    </r>
    <r>
      <rPr>
        <sz val="13"/>
        <rFont val="TH SarabunPSK"/>
        <family val="2"/>
      </rPr>
      <t>/วัน</t>
    </r>
  </si>
  <si>
    <r>
      <t>งานสี Thermoplastic (สีเหลือง และ สีขาว) ต่อ 1.00 ม.</t>
    </r>
    <r>
      <rPr>
        <b/>
        <vertAlign val="superscript"/>
        <sz val="13"/>
        <rFont val="TH SarabunPSK"/>
        <family val="2"/>
      </rPr>
      <t>2</t>
    </r>
  </si>
  <si>
    <t>17. งานเครื่องหมายจราจร</t>
  </si>
  <si>
    <t>17.1 งานสี Thermoplastic (สีเหลือง และ สีขาว)</t>
  </si>
  <si>
    <t xml:space="preserve">     - ป้ายกำหนดน้ำหนักบรรทุก</t>
  </si>
  <si>
    <t xml:space="preserve">     - เส้นจราจรชนิด THERMOPLASTIC PAINT (สีเหลือง&amp;สีขาว)</t>
  </si>
  <si>
    <t>7.1 งานตีเส้นจราจร (MARKINGS)</t>
  </si>
  <si>
    <t>7.2 งานป้ายจราจร (TRAFFIC SIGNS)</t>
  </si>
  <si>
    <t xml:space="preserve">     - ป้ายจราจรแบบ บ.1</t>
  </si>
  <si>
    <t xml:space="preserve">     - ป้ายจราจรแบบ ต.11,ต.13</t>
  </si>
  <si>
    <t xml:space="preserve"> - รวมค่างานต้นทุน </t>
  </si>
  <si>
    <t xml:space="preserve"> ช่าง เทศบาลตำบลเขาฉกรรจ์</t>
  </si>
  <si>
    <t xml:space="preserve"> กรมส่งเสริมการปกครองท้องถิ่น</t>
  </si>
  <si>
    <t xml:space="preserve"> คณะกรรมการกำหนดราคากลาง</t>
  </si>
  <si>
    <t xml:space="preserve"> ฝ่ายแบบแผนและก่อสร้าง</t>
  </si>
  <si>
    <t xml:space="preserve"> ตำบลเขาฉกรรจ์ อำเภอเขาฉกรรจ์ จังหวัดสระแก้ว</t>
  </si>
  <si>
    <t xml:space="preserve"> ประเภทงานทาง สะพาน และท่อเหลี่ยม</t>
  </si>
  <si>
    <t xml:space="preserve"> - </t>
  </si>
  <si>
    <t>ค่าขนส่ง L/4 กม. = ………. ลบ.ม.x………@.....</t>
  </si>
  <si>
    <t>ค่าคอนกรีต + ค่าติดตั้งเครื่องผสม = ………. ลบ.ม. @.................</t>
  </si>
  <si>
    <t xml:space="preserve"> วางท่อระบายน้ำถนนกลุ่มบ้านนายไสว ลาดนอก</t>
  </si>
  <si>
    <t>รวมเป็นเงิน</t>
  </si>
  <si>
    <t>คิดเพียง</t>
  </si>
  <si>
    <t>ประธานกรรมการกำหนดราคากลาง</t>
  </si>
  <si>
    <t>(นายไพโรจน์   หยวกกลาง)</t>
  </si>
  <si>
    <t>กรรมการกำหนดราคากลาง</t>
  </si>
  <si>
    <t xml:space="preserve">                    (นายวะสรรณ์  คัดทจันทร์)              </t>
  </si>
  <si>
    <t>(นายทรงวุฒิ     เคนพะนาน)</t>
  </si>
  <si>
    <t>คณะกรรมการกำหนดราคากลาง</t>
  </si>
  <si>
    <t>(นายไพโรจน์  หยวกกลาง)</t>
  </si>
  <si>
    <t>ลงชื่อ............................................................กรรมการ</t>
  </si>
  <si>
    <t>หัวหน้าฝ่ายการโยธา</t>
  </si>
  <si>
    <t>นายช่างโยธาชำนาญงาน</t>
  </si>
  <si>
    <t>(นายทรงวุฒิ  เคนพะนาน)</t>
  </si>
  <si>
    <t>(นายวะสรรณ์  คัดทจันทร์)</t>
  </si>
  <si>
    <t xml:space="preserve">         ลงชื่อ............................................................ประธานกรรมการ</t>
  </si>
  <si>
    <t xml:space="preserve"> 30 เดือน เมษายน พ.ศ. 2563</t>
  </si>
  <si>
    <t xml:space="preserve"> /2563</t>
  </si>
  <si>
    <t>(สองล้านห้าหมื่นสี่พันสี่ร้อยบาทถ้วน)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</si>
</sst>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_-* #,##0.0000_-;\-* #,##0.0000_-;_-* &quot;-&quot;_-;_-@_-"/>
    <numFmt numFmtId="190" formatCode="#,###&quot;  &quot;"/>
    <numFmt numFmtId="191" formatCode="0.00\ &quot;%&quot;"/>
    <numFmt numFmtId="192" formatCode="_-* #,##0_-;\-* #,##0_-;_-* &quot;-&quot;??_-;_-@_-"/>
    <numFmt numFmtId="193" formatCode="_(* #,##0.000_);_(* \(#,##0.000\);_(* &quot;-&quot;??_);_(@_)"/>
    <numFmt numFmtId="194" formatCode="_(* #,##0.0000_);_(* \(#,##0.0000\);_(* &quot;-&quot;??_);_(@_)"/>
    <numFmt numFmtId="195" formatCode="_-* #,##0.0000_-;\-* #,##0.0000_-;_-* &quot;-&quot;??_-;_-@_-"/>
    <numFmt numFmtId="196" formatCode="0.0000"/>
  </numFmts>
  <fonts count="30" x14ac:knownFonts="1">
    <font>
      <sz val="10"/>
      <name val="Arial"/>
    </font>
    <font>
      <sz val="10"/>
      <name val="Arial"/>
    </font>
    <font>
      <sz val="8"/>
      <name val="Arial"/>
    </font>
    <font>
      <sz val="14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2"/>
      <name val="TH SarabunPSK"/>
      <family val="2"/>
    </font>
    <font>
      <b/>
      <u/>
      <sz val="16"/>
      <name val="TH SarabunPSK"/>
      <family val="2"/>
    </font>
    <font>
      <b/>
      <sz val="20"/>
      <name val="TH SarabunPSK"/>
      <family val="2"/>
    </font>
    <font>
      <sz val="16"/>
      <name val="TH SarabunPSK"/>
      <family val="2"/>
    </font>
    <font>
      <sz val="13"/>
      <name val="TH SarabunPSK"/>
      <family val="2"/>
    </font>
    <font>
      <b/>
      <i/>
      <sz val="13"/>
      <name val="TH SarabunPSK"/>
      <family val="2"/>
    </font>
    <font>
      <b/>
      <i/>
      <sz val="14"/>
      <name val="TH SarabunPSK"/>
      <family val="2"/>
    </font>
    <font>
      <i/>
      <sz val="14"/>
      <name val="TH SarabunPSK"/>
      <family val="2"/>
    </font>
    <font>
      <u/>
      <sz val="14"/>
      <name val="TH SarabunPSK"/>
      <family val="2"/>
    </font>
    <font>
      <b/>
      <u/>
      <sz val="13"/>
      <name val="TH SarabunPSK"/>
      <family val="2"/>
    </font>
    <font>
      <b/>
      <sz val="18"/>
      <name val="TH SarabunPSK"/>
      <family val="2"/>
    </font>
    <font>
      <b/>
      <sz val="13"/>
      <name val="TH SarabunPSK"/>
      <family val="2"/>
    </font>
    <font>
      <i/>
      <sz val="13"/>
      <name val="TH SarabunPSK"/>
      <family val="2"/>
    </font>
    <font>
      <sz val="14"/>
      <color indexed="10"/>
      <name val="TH SarabunPSK"/>
      <family val="2"/>
    </font>
    <font>
      <b/>
      <i/>
      <sz val="12"/>
      <name val="TH SarabunPSK"/>
      <family val="2"/>
    </font>
    <font>
      <b/>
      <u val="singleAccounting"/>
      <sz val="13"/>
      <name val="TH SarabunPSK"/>
      <family val="2"/>
    </font>
    <font>
      <u val="singleAccounting"/>
      <sz val="13"/>
      <name val="TH SarabunPSK"/>
      <family val="2"/>
    </font>
    <font>
      <sz val="12"/>
      <color indexed="10"/>
      <name val="TH SarabunPSK"/>
      <family val="2"/>
    </font>
    <font>
      <b/>
      <u/>
      <sz val="14"/>
      <name val="TH SarabunPSK"/>
      <family val="2"/>
    </font>
    <font>
      <sz val="14"/>
      <name val="Cordia New"/>
      <charset val="222"/>
    </font>
    <font>
      <vertAlign val="superscript"/>
      <sz val="13"/>
      <name val="TH SarabunPSK"/>
      <family val="2"/>
    </font>
    <font>
      <b/>
      <vertAlign val="superscript"/>
      <sz val="13"/>
      <name val="TH SarabunPSK"/>
      <family val="2"/>
    </font>
    <font>
      <b/>
      <sz val="14"/>
      <color theme="1"/>
      <name val="TH SarabunPSK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25" fillId="0" borderId="0"/>
  </cellStyleXfs>
  <cellXfs count="451">
    <xf numFmtId="0" fontId="0" fillId="0" borderId="0" xfId="0"/>
    <xf numFmtId="0" fontId="3" fillId="0" borderId="0" xfId="0" applyFont="1"/>
    <xf numFmtId="187" fontId="3" fillId="0" borderId="0" xfId="1" applyFont="1" applyFill="1" applyBorder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Border="1"/>
    <xf numFmtId="2" fontId="3" fillId="0" borderId="0" xfId="0" applyNumberFormat="1" applyFont="1" applyBorder="1"/>
    <xf numFmtId="0" fontId="3" fillId="0" borderId="0" xfId="0" quotePrefix="1" applyFont="1" applyBorder="1" applyAlignment="1">
      <alignment horizontal="left"/>
    </xf>
    <xf numFmtId="0" fontId="5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87" fontId="3" fillId="0" borderId="0" xfId="1" applyFont="1" applyBorder="1" applyAlignment="1">
      <alignment horizontal="center"/>
    </xf>
    <xf numFmtId="0" fontId="10" fillId="0" borderId="1" xfId="0" applyFont="1" applyBorder="1" applyAlignment="1" applyProtection="1">
      <alignment horizontal="right" vertical="top"/>
      <protection hidden="1"/>
    </xf>
    <xf numFmtId="41" fontId="3" fillId="0" borderId="2" xfId="0" applyNumberFormat="1" applyFont="1" applyBorder="1" applyProtection="1">
      <protection hidden="1"/>
    </xf>
    <xf numFmtId="41" fontId="3" fillId="0" borderId="3" xfId="0" applyNumberFormat="1" applyFont="1" applyBorder="1" applyProtection="1">
      <protection hidden="1"/>
    </xf>
    <xf numFmtId="0" fontId="3" fillId="0" borderId="3" xfId="0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10" fillId="0" borderId="6" xfId="0" applyFont="1" applyBorder="1" applyAlignment="1" applyProtection="1">
      <alignment horizontal="right" vertical="top"/>
      <protection hidden="1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87" fontId="3" fillId="0" borderId="0" xfId="1" applyFont="1" applyBorder="1" applyAlignment="1">
      <alignment horizontal="center" vertical="center"/>
    </xf>
    <xf numFmtId="187" fontId="3" fillId="0" borderId="0" xfId="1" applyFont="1" applyBorder="1" applyAlignment="1">
      <alignment vertical="center"/>
    </xf>
    <xf numFmtId="195" fontId="3" fillId="2" borderId="8" xfId="1" applyNumberFormat="1" applyFont="1" applyFill="1" applyBorder="1" applyAlignment="1">
      <alignment horizontal="center"/>
    </xf>
    <xf numFmtId="43" fontId="3" fillId="0" borderId="8" xfId="1" applyNumberFormat="1" applyFont="1" applyBorder="1" applyAlignment="1">
      <alignment horizontal="center"/>
    </xf>
    <xf numFmtId="195" fontId="3" fillId="0" borderId="8" xfId="1" applyNumberFormat="1" applyFont="1" applyBorder="1" applyAlignment="1">
      <alignment horizontal="center"/>
    </xf>
    <xf numFmtId="0" fontId="5" fillId="0" borderId="0" xfId="0" applyFont="1"/>
    <xf numFmtId="0" fontId="3" fillId="0" borderId="9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10" fillId="0" borderId="1" xfId="0" applyFont="1" applyBorder="1" applyAlignment="1" applyProtection="1">
      <alignment horizontal="right" vertical="center"/>
      <protection hidden="1"/>
    </xf>
    <xf numFmtId="0" fontId="5" fillId="0" borderId="1" xfId="0" applyFont="1" applyBorder="1" applyAlignment="1" applyProtection="1">
      <alignment vertical="center"/>
      <protection hidden="1"/>
    </xf>
    <xf numFmtId="187" fontId="13" fillId="0" borderId="1" xfId="1" applyFont="1" applyBorder="1" applyAlignment="1" applyProtection="1">
      <alignment vertical="center"/>
      <protection locked="0"/>
    </xf>
    <xf numFmtId="0" fontId="10" fillId="0" borderId="7" xfId="0" applyFont="1" applyBorder="1" applyAlignment="1" applyProtection="1">
      <alignment horizontal="right" vertical="center"/>
      <protection hidden="1"/>
    </xf>
    <xf numFmtId="0" fontId="5" fillId="0" borderId="7" xfId="0" applyFont="1" applyBorder="1" applyAlignment="1" applyProtection="1">
      <alignment vertical="center"/>
      <protection hidden="1"/>
    </xf>
    <xf numFmtId="0" fontId="13" fillId="0" borderId="7" xfId="0" applyFont="1" applyBorder="1" applyAlignment="1" applyProtection="1">
      <alignment vertical="center"/>
      <protection locked="0"/>
    </xf>
    <xf numFmtId="187" fontId="13" fillId="0" borderId="7" xfId="1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horizontal="left" vertical="center"/>
      <protection hidden="1"/>
    </xf>
    <xf numFmtId="187" fontId="13" fillId="0" borderId="7" xfId="1" applyFont="1" applyBorder="1" applyAlignment="1">
      <alignment vertical="center"/>
    </xf>
    <xf numFmtId="187" fontId="5" fillId="0" borderId="7" xfId="1" applyFont="1" applyBorder="1" applyAlignment="1">
      <alignment vertical="center"/>
    </xf>
    <xf numFmtId="0" fontId="12" fillId="0" borderId="7" xfId="0" applyFont="1" applyBorder="1" applyAlignment="1" applyProtection="1">
      <alignment vertical="center"/>
      <protection hidden="1"/>
    </xf>
    <xf numFmtId="0" fontId="18" fillId="0" borderId="7" xfId="0" applyFont="1" applyBorder="1" applyAlignment="1" applyProtection="1">
      <alignment vertical="center"/>
      <protection hidden="1"/>
    </xf>
    <xf numFmtId="0" fontId="13" fillId="0" borderId="7" xfId="0" applyFont="1" applyBorder="1" applyAlignment="1" applyProtection="1">
      <alignment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11" fillId="0" borderId="7" xfId="0" applyFont="1" applyBorder="1" applyAlignment="1" applyProtection="1">
      <alignment vertical="center"/>
      <protection hidden="1"/>
    </xf>
    <xf numFmtId="187" fontId="13" fillId="0" borderId="7" xfId="1" applyFont="1" applyBorder="1" applyAlignment="1" applyProtection="1">
      <alignment vertical="center"/>
      <protection hidden="1"/>
    </xf>
    <xf numFmtId="0" fontId="17" fillId="0" borderId="7" xfId="0" applyFont="1" applyFill="1" applyBorder="1" applyAlignment="1" applyProtection="1">
      <alignment vertical="center"/>
    </xf>
    <xf numFmtId="0" fontId="10" fillId="0" borderId="7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7" xfId="0" applyFont="1" applyBorder="1" applyAlignment="1" applyProtection="1">
      <alignment vertical="center"/>
      <protection hidden="1"/>
    </xf>
    <xf numFmtId="0" fontId="17" fillId="0" borderId="7" xfId="0" applyFont="1" applyFill="1" applyBorder="1" applyAlignment="1" applyProtection="1">
      <alignment vertical="center"/>
      <protection hidden="1"/>
    </xf>
    <xf numFmtId="0" fontId="17" fillId="0" borderId="7" xfId="0" applyFont="1" applyFill="1" applyBorder="1" applyAlignment="1" applyProtection="1">
      <alignment vertical="center"/>
      <protection locked="0"/>
    </xf>
    <xf numFmtId="0" fontId="18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7" fillId="0" borderId="6" xfId="0" applyFont="1" applyFill="1" applyBorder="1" applyAlignment="1" applyProtection="1">
      <alignment vertical="center"/>
      <protection locked="0"/>
    </xf>
    <xf numFmtId="0" fontId="10" fillId="0" borderId="6" xfId="0" applyFont="1" applyBorder="1" applyAlignment="1">
      <alignment vertical="center"/>
    </xf>
    <xf numFmtId="0" fontId="17" fillId="0" borderId="6" xfId="0" applyFont="1" applyFill="1" applyBorder="1" applyAlignment="1" applyProtection="1">
      <alignment vertical="center"/>
      <protection hidden="1"/>
    </xf>
    <xf numFmtId="0" fontId="10" fillId="0" borderId="6" xfId="0" applyFont="1" applyFill="1" applyBorder="1" applyAlignment="1" applyProtection="1">
      <alignment horizontal="center" vertical="center"/>
      <protection hidden="1"/>
    </xf>
    <xf numFmtId="0" fontId="17" fillId="0" borderId="9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vertical="center"/>
      <protection hidden="1"/>
    </xf>
    <xf numFmtId="0" fontId="11" fillId="0" borderId="9" xfId="0" applyFont="1" applyBorder="1" applyAlignment="1" applyProtection="1">
      <alignment vertical="center"/>
      <protection hidden="1"/>
    </xf>
    <xf numFmtId="0" fontId="11" fillId="0" borderId="9" xfId="0" applyFont="1" applyBorder="1" applyAlignment="1" applyProtection="1">
      <alignment vertical="center"/>
    </xf>
    <xf numFmtId="0" fontId="3" fillId="0" borderId="1" xfId="0" applyFont="1" applyBorder="1" applyAlignment="1">
      <alignment vertical="center"/>
    </xf>
    <xf numFmtId="0" fontId="5" fillId="0" borderId="7" xfId="0" applyFont="1" applyBorder="1" applyAlignment="1" applyProtection="1">
      <alignment vertical="center"/>
    </xf>
    <xf numFmtId="0" fontId="19" fillId="0" borderId="0" xfId="0" applyFont="1" applyBorder="1"/>
    <xf numFmtId="0" fontId="10" fillId="0" borderId="0" xfId="0" applyFont="1" applyBorder="1" applyAlignment="1" applyProtection="1">
      <alignment horizontal="right" vertical="center"/>
      <protection hidden="1"/>
    </xf>
    <xf numFmtId="0" fontId="5" fillId="0" borderId="10" xfId="0" applyFont="1" applyBorder="1" applyAlignment="1" applyProtection="1">
      <alignment vertical="center"/>
      <protection hidden="1"/>
    </xf>
    <xf numFmtId="187" fontId="13" fillId="0" borderId="10" xfId="1" applyFont="1" applyBorder="1" applyAlignment="1" applyProtection="1">
      <alignment vertical="center"/>
      <protection hidden="1"/>
    </xf>
    <xf numFmtId="187" fontId="18" fillId="0" borderId="10" xfId="1" applyFont="1" applyBorder="1" applyAlignment="1" applyProtection="1">
      <alignment vertical="center"/>
      <protection hidden="1"/>
    </xf>
    <xf numFmtId="0" fontId="5" fillId="0" borderId="11" xfId="0" applyFont="1" applyBorder="1" applyAlignment="1" applyProtection="1">
      <alignment horizontal="center" vertical="center"/>
      <protection hidden="1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 applyProtection="1">
      <alignment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vertical="center"/>
      <protection hidden="1"/>
    </xf>
    <xf numFmtId="0" fontId="18" fillId="3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10" fillId="3" borderId="7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vertical="center"/>
      <protection hidden="1"/>
    </xf>
    <xf numFmtId="0" fontId="18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13" fillId="3" borderId="7" xfId="0" applyFont="1" applyFill="1" applyBorder="1" applyAlignment="1">
      <alignment vertical="center"/>
    </xf>
    <xf numFmtId="187" fontId="18" fillId="3" borderId="7" xfId="1" applyFont="1" applyFill="1" applyBorder="1" applyAlignment="1">
      <alignment vertical="center"/>
    </xf>
    <xf numFmtId="0" fontId="5" fillId="3" borderId="7" xfId="0" applyFont="1" applyFill="1" applyBorder="1" applyAlignment="1" applyProtection="1">
      <alignment horizontal="left" vertical="center"/>
      <protection hidden="1"/>
    </xf>
    <xf numFmtId="0" fontId="5" fillId="3" borderId="7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right" vertical="center"/>
    </xf>
    <xf numFmtId="0" fontId="18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 applyProtection="1">
      <alignment horizontal="right" vertical="center"/>
      <protection hidden="1"/>
    </xf>
    <xf numFmtId="0" fontId="3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vertical="center"/>
    </xf>
    <xf numFmtId="0" fontId="9" fillId="3" borderId="9" xfId="0" applyFont="1" applyFill="1" applyBorder="1" applyAlignment="1">
      <alignment vertical="center"/>
    </xf>
    <xf numFmtId="0" fontId="3" fillId="3" borderId="14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/>
    </xf>
    <xf numFmtId="43" fontId="3" fillId="3" borderId="15" xfId="1" applyNumberFormat="1" applyFont="1" applyFill="1" applyBorder="1" applyAlignment="1">
      <alignment horizontal="center" vertical="center"/>
    </xf>
    <xf numFmtId="43" fontId="3" fillId="3" borderId="16" xfId="1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8" xfId="0" applyFont="1" applyFill="1" applyBorder="1" applyAlignment="1">
      <alignment vertical="center"/>
    </xf>
    <xf numFmtId="0" fontId="3" fillId="3" borderId="17" xfId="0" applyFont="1" applyFill="1" applyBorder="1" applyAlignment="1">
      <alignment vertical="center"/>
    </xf>
    <xf numFmtId="41" fontId="3" fillId="3" borderId="15" xfId="0" applyNumberFormat="1" applyFont="1" applyFill="1" applyBorder="1" applyAlignment="1">
      <alignment vertical="center"/>
    </xf>
    <xf numFmtId="0" fontId="3" fillId="3" borderId="19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41" fontId="5" fillId="3" borderId="8" xfId="0" applyNumberFormat="1" applyFont="1" applyFill="1" applyBorder="1" applyAlignment="1" applyProtection="1">
      <alignment vertical="center"/>
      <protection hidden="1"/>
    </xf>
    <xf numFmtId="41" fontId="5" fillId="0" borderId="0" xfId="0" applyNumberFormat="1" applyFont="1" applyFill="1" applyBorder="1" applyAlignment="1" applyProtection="1">
      <alignment vertical="center"/>
      <protection hidden="1"/>
    </xf>
    <xf numFmtId="0" fontId="3" fillId="3" borderId="20" xfId="0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0" fontId="3" fillId="3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96" fontId="3" fillId="0" borderId="0" xfId="0" applyNumberFormat="1" applyFont="1" applyFill="1" applyBorder="1"/>
    <xf numFmtId="0" fontId="15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3" fillId="3" borderId="0" xfId="0" applyFont="1" applyFill="1"/>
    <xf numFmtId="0" fontId="17" fillId="0" borderId="3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7" xfId="0" applyFont="1" applyBorder="1" applyAlignment="1">
      <alignment horizontal="center" vertical="center"/>
    </xf>
    <xf numFmtId="187" fontId="10" fillId="0" borderId="17" xfId="1" applyNumberFormat="1" applyFont="1" applyBorder="1" applyAlignment="1">
      <alignment vertical="center"/>
    </xf>
    <xf numFmtId="0" fontId="17" fillId="0" borderId="5" xfId="0" applyFont="1" applyBorder="1" applyAlignment="1" applyProtection="1">
      <alignment horizontal="center" vertical="center"/>
      <protection hidden="1"/>
    </xf>
    <xf numFmtId="49" fontId="17" fillId="0" borderId="22" xfId="0" applyNumberFormat="1" applyFont="1" applyBorder="1" applyAlignment="1" applyProtection="1">
      <alignment vertical="center"/>
      <protection hidden="1"/>
    </xf>
    <xf numFmtId="0" fontId="10" fillId="0" borderId="5" xfId="0" applyFont="1" applyBorder="1" applyAlignment="1">
      <alignment horizontal="center" vertical="center"/>
    </xf>
    <xf numFmtId="187" fontId="10" fillId="0" borderId="3" xfId="1" applyFont="1" applyBorder="1" applyAlignment="1">
      <alignment vertical="center"/>
    </xf>
    <xf numFmtId="194" fontId="10" fillId="0" borderId="3" xfId="1" applyNumberFormat="1" applyFont="1" applyBorder="1" applyAlignment="1">
      <alignment vertical="center"/>
    </xf>
    <xf numFmtId="187" fontId="10" fillId="0" borderId="3" xfId="1" applyNumberFormat="1" applyFont="1" applyBorder="1" applyAlignment="1">
      <alignment vertical="center"/>
    </xf>
    <xf numFmtId="2" fontId="10" fillId="0" borderId="3" xfId="0" applyNumberFormat="1" applyFont="1" applyBorder="1" applyAlignment="1">
      <alignment horizontal="center" vertical="center"/>
    </xf>
    <xf numFmtId="0" fontId="10" fillId="0" borderId="15" xfId="0" applyFont="1" applyBorder="1" applyAlignment="1" applyProtection="1">
      <alignment vertical="center"/>
    </xf>
    <xf numFmtId="0" fontId="10" fillId="0" borderId="15" xfId="0" applyFont="1" applyFill="1" applyBorder="1" applyAlignment="1">
      <alignment vertical="center"/>
    </xf>
    <xf numFmtId="0" fontId="17" fillId="0" borderId="15" xfId="0" applyFont="1" applyBorder="1" applyAlignment="1" applyProtection="1">
      <alignment vertical="center"/>
    </xf>
    <xf numFmtId="0" fontId="10" fillId="0" borderId="3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23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87" fontId="3" fillId="0" borderId="4" xfId="1" applyFont="1" applyBorder="1" applyAlignment="1">
      <alignment vertical="center"/>
    </xf>
    <xf numFmtId="194" fontId="3" fillId="0" borderId="0" xfId="1" applyNumberFormat="1" applyFont="1" applyBorder="1" applyAlignment="1">
      <alignment vertical="center"/>
    </xf>
    <xf numFmtId="187" fontId="3" fillId="0" borderId="8" xfId="1" applyFont="1" applyBorder="1" applyAlignment="1">
      <alignment vertical="center"/>
    </xf>
    <xf numFmtId="0" fontId="10" fillId="0" borderId="0" xfId="0" applyFont="1" applyBorder="1" applyAlignment="1" applyProtection="1">
      <alignment horizontal="left" vertical="center"/>
      <protection locked="0"/>
    </xf>
    <xf numFmtId="187" fontId="3" fillId="0" borderId="24" xfId="1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187" fontId="17" fillId="0" borderId="5" xfId="1" applyFont="1" applyBorder="1" applyAlignment="1">
      <alignment horizontal="center" vertical="center"/>
    </xf>
    <xf numFmtId="187" fontId="17" fillId="0" borderId="12" xfId="1" applyFont="1" applyBorder="1" applyAlignment="1">
      <alignment horizontal="center" vertical="center"/>
    </xf>
    <xf numFmtId="187" fontId="10" fillId="0" borderId="3" xfId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187" fontId="10" fillId="0" borderId="23" xfId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7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vertical="center"/>
      <protection locked="0"/>
    </xf>
    <xf numFmtId="0" fontId="12" fillId="0" borderId="7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vertical="center"/>
    </xf>
    <xf numFmtId="187" fontId="10" fillId="0" borderId="23" xfId="1" applyFont="1" applyBorder="1" applyAlignment="1">
      <alignment vertical="center"/>
    </xf>
    <xf numFmtId="194" fontId="10" fillId="0" borderId="23" xfId="1" applyNumberFormat="1" applyFont="1" applyBorder="1" applyAlignment="1">
      <alignment vertical="center"/>
    </xf>
    <xf numFmtId="187" fontId="10" fillId="0" borderId="12" xfId="1" applyFont="1" applyBorder="1" applyAlignment="1">
      <alignment vertical="center"/>
    </xf>
    <xf numFmtId="194" fontId="10" fillId="0" borderId="12" xfId="1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horizontal="center" vertical="center"/>
    </xf>
    <xf numFmtId="9" fontId="6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vertical="center"/>
    </xf>
    <xf numFmtId="187" fontId="10" fillId="0" borderId="17" xfId="1" applyNumberFormat="1" applyFont="1" applyBorder="1" applyAlignment="1">
      <alignment horizontal="center" vertical="center"/>
    </xf>
    <xf numFmtId="187" fontId="10" fillId="0" borderId="3" xfId="1" applyNumberFormat="1" applyFont="1" applyBorder="1" applyAlignment="1">
      <alignment horizontal="center" vertical="center"/>
    </xf>
    <xf numFmtId="0" fontId="17" fillId="0" borderId="3" xfId="0" applyFont="1" applyBorder="1" applyAlignment="1" applyProtection="1">
      <alignment horizontal="center" vertical="center"/>
      <protection hidden="1"/>
    </xf>
    <xf numFmtId="49" fontId="17" fillId="0" borderId="15" xfId="0" applyNumberFormat="1" applyFont="1" applyBorder="1" applyAlignment="1" applyProtection="1">
      <alignment vertical="center"/>
      <protection hidden="1"/>
    </xf>
    <xf numFmtId="0" fontId="17" fillId="0" borderId="7" xfId="0" applyFont="1" applyBorder="1" applyAlignment="1">
      <alignment vertical="center"/>
    </xf>
    <xf numFmtId="187" fontId="22" fillId="0" borderId="3" xfId="1" applyFont="1" applyBorder="1" applyAlignment="1">
      <alignment vertical="center"/>
    </xf>
    <xf numFmtId="194" fontId="22" fillId="0" borderId="3" xfId="1" applyNumberFormat="1" applyFont="1" applyBorder="1" applyAlignment="1">
      <alignment vertical="center"/>
    </xf>
    <xf numFmtId="187" fontId="22" fillId="0" borderId="3" xfId="1" applyNumberFormat="1" applyFont="1" applyBorder="1" applyAlignment="1">
      <alignment vertical="center"/>
    </xf>
    <xf numFmtId="187" fontId="3" fillId="0" borderId="0" xfId="1" applyFont="1" applyBorder="1"/>
    <xf numFmtId="187" fontId="3" fillId="0" borderId="0" xfId="1" applyNumberFormat="1" applyFont="1" applyBorder="1"/>
    <xf numFmtId="2" fontId="3" fillId="0" borderId="0" xfId="0" applyNumberFormat="1" applyFont="1" applyFill="1" applyBorder="1"/>
    <xf numFmtId="193" fontId="3" fillId="0" borderId="0" xfId="1" applyNumberFormat="1" applyFont="1" applyBorder="1"/>
    <xf numFmtId="0" fontId="3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187" fontId="5" fillId="4" borderId="26" xfId="1" applyFont="1" applyFill="1" applyBorder="1"/>
    <xf numFmtId="187" fontId="3" fillId="2" borderId="0" xfId="1" applyFont="1" applyFill="1" applyBorder="1"/>
    <xf numFmtId="187" fontId="5" fillId="0" borderId="0" xfId="1" applyFont="1" applyFill="1" applyBorder="1"/>
    <xf numFmtId="0" fontId="8" fillId="0" borderId="0" xfId="0" applyFont="1" applyFill="1" applyAlignment="1"/>
    <xf numFmtId="0" fontId="4" fillId="0" borderId="0" xfId="0" applyFont="1" applyFill="1" applyAlignment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2" fontId="3" fillId="5" borderId="0" xfId="0" applyNumberFormat="1" applyFont="1" applyFill="1" applyBorder="1"/>
    <xf numFmtId="2" fontId="3" fillId="4" borderId="26" xfId="0" applyNumberFormat="1" applyFont="1" applyFill="1" applyBorder="1"/>
    <xf numFmtId="0" fontId="23" fillId="0" borderId="0" xfId="0" applyFont="1" applyBorder="1" applyAlignment="1">
      <alignment horizontal="center"/>
    </xf>
    <xf numFmtId="187" fontId="3" fillId="5" borderId="0" xfId="1" applyFont="1" applyFill="1" applyBorder="1"/>
    <xf numFmtId="0" fontId="3" fillId="6" borderId="0" xfId="0" applyFont="1" applyFill="1" applyBorder="1" applyAlignment="1">
      <alignment horizontal="center"/>
    </xf>
    <xf numFmtId="0" fontId="5" fillId="0" borderId="0" xfId="0" applyFont="1" applyProtection="1">
      <protection hidden="1"/>
    </xf>
    <xf numFmtId="0" fontId="3" fillId="0" borderId="0" xfId="0" applyFont="1" applyProtection="1">
      <protection hidden="1"/>
    </xf>
    <xf numFmtId="187" fontId="3" fillId="0" borderId="0" xfId="0" applyNumberFormat="1" applyFont="1" applyFill="1" applyBorder="1"/>
    <xf numFmtId="188" fontId="3" fillId="0" borderId="0" xfId="1" applyNumberFormat="1" applyFont="1" applyBorder="1"/>
    <xf numFmtId="187" fontId="3" fillId="7" borderId="0" xfId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5" borderId="0" xfId="0" applyFont="1" applyFill="1" applyBorder="1" applyAlignment="1">
      <alignment horizontal="center"/>
    </xf>
    <xf numFmtId="0" fontId="24" fillId="0" borderId="0" xfId="0" applyFont="1" applyBorder="1"/>
    <xf numFmtId="187" fontId="4" fillId="0" borderId="0" xfId="1" applyFont="1" applyBorder="1" applyAlignment="1"/>
    <xf numFmtId="2" fontId="3" fillId="2" borderId="0" xfId="0" applyNumberFormat="1" applyFont="1" applyFill="1" applyBorder="1"/>
    <xf numFmtId="0" fontId="3" fillId="2" borderId="0" xfId="0" applyFont="1" applyFill="1" applyAlignment="1">
      <alignment horizontal="left"/>
    </xf>
    <xf numFmtId="187" fontId="10" fillId="0" borderId="17" xfId="1" applyFont="1" applyBorder="1" applyAlignment="1">
      <alignment vertical="center"/>
    </xf>
    <xf numFmtId="194" fontId="10" fillId="0" borderId="17" xfId="1" applyNumberFormat="1" applyFont="1" applyBorder="1" applyAlignment="1">
      <alignment vertical="center"/>
    </xf>
    <xf numFmtId="2" fontId="10" fillId="0" borderId="17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187" fontId="10" fillId="0" borderId="0" xfId="1" applyNumberFormat="1" applyFont="1" applyBorder="1" applyAlignment="1">
      <alignment horizontal="center" vertical="center"/>
    </xf>
    <xf numFmtId="187" fontId="10" fillId="0" borderId="0" xfId="1" applyNumberFormat="1" applyFont="1" applyBorder="1" applyAlignment="1">
      <alignment vertical="center"/>
    </xf>
    <xf numFmtId="187" fontId="10" fillId="0" borderId="0" xfId="1" applyFont="1" applyBorder="1" applyAlignment="1">
      <alignment vertical="center"/>
    </xf>
    <xf numFmtId="194" fontId="10" fillId="0" borderId="0" xfId="1" applyNumberFormat="1" applyFont="1" applyBorder="1" applyAlignment="1">
      <alignment vertical="center"/>
    </xf>
    <xf numFmtId="2" fontId="10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187" fontId="21" fillId="0" borderId="0" xfId="1" applyFont="1" applyBorder="1" applyAlignment="1">
      <alignment vertical="center"/>
    </xf>
    <xf numFmtId="187" fontId="21" fillId="0" borderId="0" xfId="1" applyNumberFormat="1" applyFont="1" applyBorder="1" applyAlignment="1">
      <alignment vertical="center"/>
    </xf>
    <xf numFmtId="2" fontId="10" fillId="0" borderId="0" xfId="0" applyNumberFormat="1" applyFont="1" applyBorder="1" applyAlignment="1">
      <alignment vertical="center"/>
    </xf>
    <xf numFmtId="187" fontId="17" fillId="0" borderId="0" xfId="1" applyFont="1" applyBorder="1" applyAlignment="1">
      <alignment horizontal="center" vertical="center"/>
    </xf>
    <xf numFmtId="187" fontId="10" fillId="0" borderId="23" xfId="1" applyNumberFormat="1" applyFont="1" applyBorder="1" applyAlignment="1">
      <alignment horizontal="center" vertical="center"/>
    </xf>
    <xf numFmtId="187" fontId="10" fillId="0" borderId="23" xfId="1" applyNumberFormat="1" applyFont="1" applyBorder="1" applyAlignment="1">
      <alignment vertical="center"/>
    </xf>
    <xf numFmtId="2" fontId="10" fillId="0" borderId="23" xfId="0" applyNumberFormat="1" applyFont="1" applyBorder="1" applyAlignment="1">
      <alignment horizontal="center" vertical="center"/>
    </xf>
    <xf numFmtId="194" fontId="10" fillId="0" borderId="0" xfId="1" applyNumberFormat="1" applyFont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 applyProtection="1">
      <alignment vertical="center"/>
    </xf>
    <xf numFmtId="0" fontId="10" fillId="0" borderId="9" xfId="0" applyFont="1" applyBorder="1" applyAlignment="1">
      <alignment horizontal="right" vertical="center"/>
    </xf>
    <xf numFmtId="187" fontId="10" fillId="0" borderId="27" xfId="1" applyNumberFormat="1" applyFont="1" applyBorder="1" applyAlignment="1">
      <alignment horizontal="center" vertical="center"/>
    </xf>
    <xf numFmtId="187" fontId="10" fillId="0" borderId="27" xfId="1" applyNumberFormat="1" applyFont="1" applyBorder="1" applyAlignment="1">
      <alignment vertical="center"/>
    </xf>
    <xf numFmtId="2" fontId="10" fillId="0" borderId="12" xfId="0" applyNumberFormat="1" applyFont="1" applyBorder="1" applyAlignment="1">
      <alignment horizontal="center" vertical="center"/>
    </xf>
    <xf numFmtId="0" fontId="10" fillId="0" borderId="25" xfId="0" applyFont="1" applyBorder="1" applyAlignment="1" applyProtection="1">
      <alignment vertical="center"/>
    </xf>
    <xf numFmtId="0" fontId="10" fillId="0" borderId="6" xfId="0" applyFont="1" applyBorder="1" applyAlignment="1">
      <alignment horizontal="right" vertical="center"/>
    </xf>
    <xf numFmtId="0" fontId="10" fillId="0" borderId="21" xfId="0" applyFont="1" applyBorder="1" applyAlignment="1" applyProtection="1">
      <alignment vertical="center"/>
    </xf>
    <xf numFmtId="187" fontId="3" fillId="4" borderId="26" xfId="1" applyFont="1" applyFill="1" applyBorder="1"/>
    <xf numFmtId="187" fontId="3" fillId="0" borderId="26" xfId="1" applyFont="1" applyFill="1" applyBorder="1"/>
    <xf numFmtId="187" fontId="3" fillId="4" borderId="28" xfId="1" applyFont="1" applyFill="1" applyBorder="1"/>
    <xf numFmtId="187" fontId="5" fillId="0" borderId="26" xfId="1" applyFont="1" applyBorder="1" applyAlignment="1">
      <alignment horizontal="right"/>
    </xf>
    <xf numFmtId="187" fontId="3" fillId="0" borderId="0" xfId="1" applyFont="1" applyFill="1"/>
    <xf numFmtId="187" fontId="5" fillId="8" borderId="26" xfId="1" applyFont="1" applyFill="1" applyBorder="1" applyAlignment="1">
      <alignment horizontal="right"/>
    </xf>
    <xf numFmtId="0" fontId="3" fillId="0" borderId="0" xfId="2" applyFont="1"/>
    <xf numFmtId="0" fontId="10" fillId="0" borderId="0" xfId="2" applyFont="1"/>
    <xf numFmtId="0" fontId="5" fillId="0" borderId="0" xfId="2" applyFont="1"/>
    <xf numFmtId="0" fontId="3" fillId="0" borderId="0" xfId="0" applyFont="1" applyAlignment="1"/>
    <xf numFmtId="187" fontId="3" fillId="0" borderId="0" xfId="1" applyFont="1" applyBorder="1" applyAlignment="1">
      <alignment horizontal="left"/>
    </xf>
    <xf numFmtId="187" fontId="3" fillId="0" borderId="0" xfId="1" applyFont="1" applyFill="1" applyBorder="1" applyAlignment="1">
      <alignment horizontal="left"/>
    </xf>
    <xf numFmtId="0" fontId="10" fillId="0" borderId="0" xfId="0" applyFont="1"/>
    <xf numFmtId="187" fontId="10" fillId="0" borderId="0" xfId="1" applyFont="1"/>
    <xf numFmtId="187" fontId="10" fillId="0" borderId="0" xfId="1" applyFont="1" applyAlignment="1"/>
    <xf numFmtId="0" fontId="10" fillId="0" borderId="0" xfId="0" applyFont="1" applyAlignment="1"/>
    <xf numFmtId="0" fontId="10" fillId="0" borderId="0" xfId="2" applyFont="1" applyBorder="1" applyAlignment="1">
      <alignment horizontal="center"/>
    </xf>
    <xf numFmtId="2" fontId="10" fillId="0" borderId="0" xfId="2" applyNumberFormat="1" applyFont="1" applyBorder="1"/>
    <xf numFmtId="0" fontId="10" fillId="0" borderId="0" xfId="2" applyFont="1" applyBorder="1"/>
    <xf numFmtId="0" fontId="10" fillId="0" borderId="0" xfId="2" applyFont="1" applyFill="1" applyBorder="1"/>
    <xf numFmtId="0" fontId="10" fillId="0" borderId="0" xfId="0" applyFont="1" applyBorder="1"/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187" fontId="10" fillId="2" borderId="0" xfId="1" applyFont="1" applyFill="1"/>
    <xf numFmtId="187" fontId="10" fillId="0" borderId="0" xfId="1" applyFont="1" applyFill="1"/>
    <xf numFmtId="0" fontId="10" fillId="0" borderId="0" xfId="2" applyFont="1" applyFill="1"/>
    <xf numFmtId="0" fontId="10" fillId="0" borderId="0" xfId="2" applyFont="1" applyAlignment="1">
      <alignment horizontal="center"/>
    </xf>
    <xf numFmtId="2" fontId="10" fillId="0" borderId="0" xfId="2" applyNumberFormat="1" applyFont="1" applyFill="1" applyBorder="1"/>
    <xf numFmtId="2" fontId="10" fillId="0" borderId="0" xfId="2" applyNumberFormat="1" applyFont="1" applyFill="1"/>
    <xf numFmtId="2" fontId="10" fillId="5" borderId="0" xfId="2" applyNumberFormat="1" applyFont="1" applyFill="1" applyBorder="1"/>
    <xf numFmtId="187" fontId="10" fillId="0" borderId="0" xfId="1" applyFont="1" applyBorder="1"/>
    <xf numFmtId="0" fontId="10" fillId="0" borderId="0" xfId="0" applyFont="1" applyFill="1" applyBorder="1"/>
    <xf numFmtId="3" fontId="10" fillId="0" borderId="0" xfId="2" applyNumberFormat="1" applyFont="1" applyBorder="1"/>
    <xf numFmtId="2" fontId="10" fillId="0" borderId="0" xfId="2" applyNumberFormat="1" applyFont="1" applyFill="1" applyAlignment="1">
      <alignment horizontal="center"/>
    </xf>
    <xf numFmtId="187" fontId="10" fillId="4" borderId="0" xfId="1" applyFont="1" applyFill="1" applyBorder="1"/>
    <xf numFmtId="187" fontId="10" fillId="0" borderId="0" xfId="1" applyFont="1" applyFill="1" applyBorder="1"/>
    <xf numFmtId="187" fontId="10" fillId="5" borderId="0" xfId="1" applyFont="1" applyFill="1" applyBorder="1"/>
    <xf numFmtId="0" fontId="10" fillId="0" borderId="0" xfId="2" applyFont="1" applyAlignment="1">
      <alignment horizontal="left"/>
    </xf>
    <xf numFmtId="187" fontId="10" fillId="0" borderId="0" xfId="1" applyFont="1" applyBorder="1" applyAlignment="1">
      <alignment horizontal="center"/>
    </xf>
    <xf numFmtId="187" fontId="10" fillId="0" borderId="29" xfId="1" applyFont="1" applyBorder="1"/>
    <xf numFmtId="187" fontId="17" fillId="0" borderId="26" xfId="1" applyFont="1" applyBorder="1" applyAlignment="1">
      <alignment horizontal="right"/>
    </xf>
    <xf numFmtId="0" fontId="10" fillId="0" borderId="0" xfId="0" applyFont="1" applyFill="1"/>
    <xf numFmtId="187" fontId="10" fillId="2" borderId="0" xfId="1" applyFont="1" applyFill="1" applyBorder="1"/>
    <xf numFmtId="0" fontId="17" fillId="0" borderId="23" xfId="0" applyFont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187" fontId="10" fillId="0" borderId="1" xfId="1" applyFont="1" applyBorder="1" applyAlignment="1" applyProtection="1">
      <alignment vertical="center"/>
      <protection locked="0"/>
    </xf>
    <xf numFmtId="187" fontId="10" fillId="0" borderId="17" xfId="1" applyFont="1" applyBorder="1" applyAlignment="1">
      <alignment horizontal="center" vertical="center"/>
    </xf>
    <xf numFmtId="187" fontId="17" fillId="0" borderId="23" xfId="1" applyNumberFormat="1" applyFont="1" applyBorder="1" applyAlignment="1">
      <alignment vertical="center"/>
    </xf>
    <xf numFmtId="187" fontId="17" fillId="0" borderId="12" xfId="1" applyNumberFormat="1" applyFont="1" applyBorder="1" applyAlignment="1">
      <alignment vertical="center"/>
    </xf>
    <xf numFmtId="187" fontId="17" fillId="0" borderId="8" xfId="1" applyFont="1" applyBorder="1" applyAlignment="1">
      <alignment vertical="center"/>
    </xf>
    <xf numFmtId="187" fontId="17" fillId="0" borderId="0" xfId="1" applyFont="1" applyBorder="1" applyAlignment="1">
      <alignment vertical="center"/>
    </xf>
    <xf numFmtId="194" fontId="17" fillId="0" borderId="8" xfId="1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1" xfId="0" applyFont="1" applyBorder="1" applyAlignment="1">
      <alignment horizontal="right" vertical="center"/>
    </xf>
    <xf numFmtId="187" fontId="10" fillId="0" borderId="5" xfId="1" applyFont="1" applyBorder="1" applyAlignment="1">
      <alignment vertical="center"/>
    </xf>
    <xf numFmtId="194" fontId="10" fillId="0" borderId="5" xfId="1" applyNumberFormat="1" applyFont="1" applyBorder="1" applyAlignment="1">
      <alignment vertical="center"/>
    </xf>
    <xf numFmtId="0" fontId="17" fillId="0" borderId="23" xfId="0" applyFont="1" applyBorder="1" applyAlignment="1">
      <alignment vertical="center"/>
    </xf>
    <xf numFmtId="187" fontId="10" fillId="0" borderId="5" xfId="1" applyNumberFormat="1" applyFont="1" applyBorder="1" applyAlignment="1">
      <alignment horizontal="center" vertical="center"/>
    </xf>
    <xf numFmtId="0" fontId="10" fillId="0" borderId="0" xfId="0" applyFont="1" applyBorder="1" applyAlignment="1" applyProtection="1">
      <alignment vertical="center"/>
    </xf>
    <xf numFmtId="0" fontId="10" fillId="0" borderId="7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hidden="1"/>
    </xf>
    <xf numFmtId="187" fontId="10" fillId="0" borderId="7" xfId="1" applyFont="1" applyBorder="1" applyAlignment="1" applyProtection="1">
      <alignment vertical="center"/>
      <protection locked="0"/>
    </xf>
    <xf numFmtId="187" fontId="10" fillId="0" borderId="7" xfId="1" applyFont="1" applyBorder="1" applyAlignment="1">
      <alignment vertical="center"/>
    </xf>
    <xf numFmtId="187" fontId="10" fillId="0" borderId="7" xfId="1" applyFont="1" applyBorder="1" applyAlignment="1" applyProtection="1">
      <alignment vertical="center"/>
      <protection hidden="1"/>
    </xf>
    <xf numFmtId="0" fontId="10" fillId="3" borderId="7" xfId="0" applyFont="1" applyFill="1" applyBorder="1" applyAlignment="1">
      <alignment vertical="center"/>
    </xf>
    <xf numFmtId="187" fontId="28" fillId="0" borderId="0" xfId="1" applyFont="1" applyAlignment="1">
      <alignment horizontal="center"/>
    </xf>
    <xf numFmtId="187" fontId="17" fillId="0" borderId="27" xfId="1" applyNumberFormat="1" applyFont="1" applyBorder="1" applyAlignment="1">
      <alignment vertical="center"/>
    </xf>
    <xf numFmtId="194" fontId="5" fillId="0" borderId="0" xfId="1" applyNumberFormat="1" applyFont="1" applyBorder="1" applyAlignment="1">
      <alignment vertical="center"/>
    </xf>
    <xf numFmtId="187" fontId="5" fillId="0" borderId="0" xfId="1" applyNumberFormat="1" applyFont="1" applyBorder="1" applyAlignment="1">
      <alignment vertical="center"/>
    </xf>
    <xf numFmtId="2" fontId="3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87" fontId="0" fillId="0" borderId="0" xfId="1" applyFont="1"/>
    <xf numFmtId="0" fontId="0" fillId="0" borderId="0" xfId="0" applyAlignment="1"/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left" vertical="center"/>
    </xf>
    <xf numFmtId="187" fontId="17" fillId="0" borderId="24" xfId="1" applyFont="1" applyBorder="1" applyAlignment="1" applyProtection="1">
      <alignment vertical="center"/>
      <protection hidden="1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187" fontId="3" fillId="9" borderId="0" xfId="1" applyNumberFormat="1" applyFont="1" applyFill="1" applyBorder="1"/>
    <xf numFmtId="187" fontId="3" fillId="9" borderId="0" xfId="1" applyFont="1" applyFill="1" applyBorder="1"/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" fontId="3" fillId="5" borderId="0" xfId="0" applyNumberFormat="1" applyFont="1" applyFill="1" applyAlignment="1">
      <alignment horizontal="center"/>
    </xf>
    <xf numFmtId="0" fontId="17" fillId="4" borderId="0" xfId="2" applyFont="1" applyFill="1" applyBorder="1" applyAlignment="1">
      <alignment horizontal="center"/>
    </xf>
    <xf numFmtId="0" fontId="17" fillId="0" borderId="8" xfId="0" applyFont="1" applyBorder="1" applyAlignment="1">
      <alignment horizontal="center" vertical="center"/>
    </xf>
    <xf numFmtId="0" fontId="16" fillId="0" borderId="9" xfId="0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vertical="center"/>
      <protection hidden="1"/>
    </xf>
    <xf numFmtId="0" fontId="10" fillId="0" borderId="3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top"/>
      <protection hidden="1"/>
    </xf>
    <xf numFmtId="0" fontId="4" fillId="0" borderId="29" xfId="0" applyFont="1" applyBorder="1" applyAlignment="1" applyProtection="1">
      <alignment horizontal="center" vertical="top"/>
      <protection hidden="1"/>
    </xf>
    <xf numFmtId="0" fontId="5" fillId="0" borderId="11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left" indent="1"/>
      <protection locked="0"/>
    </xf>
    <xf numFmtId="187" fontId="3" fillId="0" borderId="2" xfId="1" applyFont="1" applyBorder="1" applyAlignment="1" applyProtection="1">
      <alignment horizontal="center"/>
      <protection locked="0"/>
    </xf>
    <xf numFmtId="189" fontId="3" fillId="0" borderId="2" xfId="0" applyNumberFormat="1" applyFont="1" applyBorder="1" applyAlignment="1" applyProtection="1">
      <alignment horizontal="center"/>
      <protection hidden="1"/>
    </xf>
    <xf numFmtId="187" fontId="3" fillId="0" borderId="39" xfId="1" applyFont="1" applyBorder="1" applyAlignment="1" applyProtection="1">
      <protection hidden="1"/>
    </xf>
    <xf numFmtId="187" fontId="3" fillId="0" borderId="40" xfId="1" applyFont="1" applyBorder="1" applyAlignment="1" applyProtection="1">
      <protection hidden="1"/>
    </xf>
    <xf numFmtId="187" fontId="3" fillId="0" borderId="41" xfId="1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5" fillId="0" borderId="11" xfId="0" applyFont="1" applyBorder="1" applyAlignment="1" applyProtection="1">
      <alignment horizontal="center" vertical="center" wrapText="1"/>
      <protection hidden="1"/>
    </xf>
    <xf numFmtId="0" fontId="5" fillId="0" borderId="11" xfId="0" applyFont="1" applyBorder="1" applyAlignment="1" applyProtection="1">
      <alignment horizontal="center" wrapText="1"/>
      <protection hidden="1"/>
    </xf>
    <xf numFmtId="0" fontId="5" fillId="0" borderId="11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left" vertical="top" indent="1"/>
      <protection hidden="1"/>
    </xf>
    <xf numFmtId="41" fontId="3" fillId="0" borderId="3" xfId="0" applyNumberFormat="1" applyFont="1" applyBorder="1" applyAlignment="1" applyProtection="1">
      <alignment horizontal="center"/>
      <protection hidden="1"/>
    </xf>
    <xf numFmtId="189" fontId="3" fillId="0" borderId="3" xfId="0" applyNumberFormat="1" applyFont="1" applyBorder="1" applyAlignment="1" applyProtection="1">
      <alignment horizontal="center"/>
      <protection hidden="1"/>
    </xf>
    <xf numFmtId="190" fontId="3" fillId="0" borderId="13" xfId="0" applyNumberFormat="1" applyFont="1" applyBorder="1" applyAlignment="1" applyProtection="1">
      <protection hidden="1"/>
    </xf>
    <xf numFmtId="190" fontId="3" fillId="0" borderId="9" xfId="0" applyNumberFormat="1" applyFont="1" applyBorder="1" applyAlignment="1" applyProtection="1">
      <protection hidden="1"/>
    </xf>
    <xf numFmtId="190" fontId="3" fillId="0" borderId="14" xfId="0" applyNumberFormat="1" applyFont="1" applyBorder="1" applyAlignment="1" applyProtection="1">
      <protection hidden="1"/>
    </xf>
    <xf numFmtId="0" fontId="3" fillId="0" borderId="3" xfId="0" applyFont="1" applyBorder="1" applyAlignment="1" applyProtection="1">
      <protection hidden="1"/>
    </xf>
    <xf numFmtId="0" fontId="14" fillId="0" borderId="19" xfId="0" applyFont="1" applyBorder="1" applyAlignment="1" applyProtection="1">
      <alignment horizontal="center" vertical="top"/>
      <protection hidden="1"/>
    </xf>
    <xf numFmtId="0" fontId="3" fillId="0" borderId="37" xfId="0" applyFont="1" applyBorder="1" applyAlignment="1" applyProtection="1">
      <alignment horizontal="center" vertical="top"/>
      <protection hidden="1"/>
    </xf>
    <xf numFmtId="0" fontId="3" fillId="0" borderId="38" xfId="0" applyFont="1" applyBorder="1" applyAlignment="1" applyProtection="1">
      <alignment horizontal="center" vertical="top"/>
      <protection hidden="1"/>
    </xf>
    <xf numFmtId="190" fontId="3" fillId="0" borderId="15" xfId="0" applyNumberFormat="1" applyFont="1" applyBorder="1" applyAlignment="1" applyProtection="1">
      <protection hidden="1"/>
    </xf>
    <xf numFmtId="190" fontId="3" fillId="0" borderId="7" xfId="0" applyNumberFormat="1" applyFont="1" applyBorder="1" applyAlignment="1" applyProtection="1">
      <protection hidden="1"/>
    </xf>
    <xf numFmtId="190" fontId="3" fillId="0" borderId="16" xfId="0" applyNumberFormat="1" applyFont="1" applyBorder="1" applyAlignment="1" applyProtection="1">
      <protection hidden="1"/>
    </xf>
    <xf numFmtId="0" fontId="6" fillId="0" borderId="3" xfId="0" applyFont="1" applyBorder="1" applyAlignment="1" applyProtection="1">
      <alignment horizontal="left" vertical="center" indent="2"/>
      <protection hidden="1"/>
    </xf>
    <xf numFmtId="0" fontId="6" fillId="0" borderId="15" xfId="0" applyFont="1" applyBorder="1" applyAlignment="1" applyProtection="1">
      <alignment horizontal="left" vertical="center" indent="2"/>
      <protection hidden="1"/>
    </xf>
    <xf numFmtId="191" fontId="3" fillId="0" borderId="16" xfId="0" applyNumberFormat="1" applyFont="1" applyBorder="1" applyAlignment="1" applyProtection="1">
      <alignment horizontal="center" vertical="top"/>
      <protection locked="0"/>
    </xf>
    <xf numFmtId="191" fontId="3" fillId="0" borderId="3" xfId="0" applyNumberFormat="1" applyFont="1" applyBorder="1" applyAlignment="1" applyProtection="1">
      <alignment horizontal="center" vertical="top"/>
      <protection locked="0"/>
    </xf>
    <xf numFmtId="0" fontId="3" fillId="0" borderId="25" xfId="0" applyFont="1" applyBorder="1" applyAlignment="1" applyProtection="1">
      <alignment horizontal="left" vertical="top" indent="1"/>
      <protection hidden="1"/>
    </xf>
    <xf numFmtId="0" fontId="3" fillId="0" borderId="30" xfId="0" applyFont="1" applyBorder="1" applyAlignment="1" applyProtection="1">
      <alignment horizontal="left" vertical="top" indent="1"/>
      <protection hidden="1"/>
    </xf>
    <xf numFmtId="190" fontId="3" fillId="0" borderId="25" xfId="0" applyNumberFormat="1" applyFont="1" applyBorder="1" applyAlignment="1" applyProtection="1">
      <protection hidden="1"/>
    </xf>
    <xf numFmtId="190" fontId="3" fillId="0" borderId="6" xfId="0" applyNumberFormat="1" applyFont="1" applyBorder="1" applyAlignment="1" applyProtection="1">
      <protection hidden="1"/>
    </xf>
    <xf numFmtId="190" fontId="3" fillId="0" borderId="30" xfId="0" applyNumberFormat="1" applyFont="1" applyBorder="1" applyAlignment="1" applyProtection="1">
      <protection hidden="1"/>
    </xf>
    <xf numFmtId="0" fontId="3" fillId="0" borderId="4" xfId="0" applyFont="1" applyBorder="1" applyAlignment="1" applyProtection="1">
      <protection hidden="1"/>
    </xf>
    <xf numFmtId="0" fontId="6" fillId="0" borderId="12" xfId="0" applyFont="1" applyBorder="1" applyAlignment="1" applyProtection="1">
      <alignment horizontal="left" vertical="center" indent="2"/>
      <protection hidden="1"/>
    </xf>
    <xf numFmtId="0" fontId="6" fillId="0" borderId="13" xfId="0" applyFont="1" applyBorder="1" applyAlignment="1" applyProtection="1">
      <alignment horizontal="left" vertical="center" indent="2"/>
      <protection hidden="1"/>
    </xf>
    <xf numFmtId="191" fontId="3" fillId="0" borderId="14" xfId="0" applyNumberFormat="1" applyFont="1" applyBorder="1" applyAlignment="1" applyProtection="1">
      <alignment horizontal="center" vertical="top"/>
      <protection locked="0"/>
    </xf>
    <xf numFmtId="191" fontId="3" fillId="0" borderId="12" xfId="0" applyNumberFormat="1" applyFont="1" applyBorder="1" applyAlignment="1" applyProtection="1">
      <alignment horizontal="center" vertical="top"/>
      <protection locked="0"/>
    </xf>
    <xf numFmtId="0" fontId="6" fillId="0" borderId="4" xfId="0" applyFont="1" applyBorder="1" applyAlignment="1" applyProtection="1">
      <alignment horizontal="left" vertical="center" indent="2"/>
      <protection hidden="1"/>
    </xf>
    <xf numFmtId="0" fontId="6" fillId="0" borderId="34" xfId="0" applyFont="1" applyBorder="1" applyAlignment="1" applyProtection="1">
      <alignment horizontal="left" vertical="center" indent="2"/>
      <protection hidden="1"/>
    </xf>
    <xf numFmtId="191" fontId="3" fillId="0" borderId="20" xfId="0" applyNumberFormat="1" applyFont="1" applyBorder="1" applyAlignment="1" applyProtection="1">
      <alignment horizontal="center" vertical="top"/>
      <protection locked="0"/>
    </xf>
    <xf numFmtId="191" fontId="3" fillId="0" borderId="4" xfId="0" applyNumberFormat="1" applyFont="1" applyBorder="1" applyAlignment="1" applyProtection="1">
      <alignment horizontal="center" vertical="top"/>
      <protection locked="0"/>
    </xf>
    <xf numFmtId="41" fontId="3" fillId="0" borderId="4" xfId="0" applyNumberFormat="1" applyFont="1" applyBorder="1" applyAlignment="1" applyProtection="1">
      <alignment horizontal="center"/>
      <protection hidden="1"/>
    </xf>
    <xf numFmtId="189" fontId="3" fillId="0" borderId="4" xfId="0" applyNumberFormat="1" applyFont="1" applyBorder="1" applyAlignment="1" applyProtection="1">
      <alignment horizontal="center"/>
      <protection hidden="1"/>
    </xf>
    <xf numFmtId="0" fontId="3" fillId="0" borderId="22" xfId="0" applyFont="1" applyBorder="1" applyAlignment="1" applyProtection="1">
      <alignment vertical="top"/>
      <protection hidden="1"/>
    </xf>
    <xf numFmtId="0" fontId="3" fillId="0" borderId="1" xfId="0" applyFont="1" applyBorder="1" applyAlignment="1" applyProtection="1">
      <alignment vertical="top"/>
      <protection hidden="1"/>
    </xf>
    <xf numFmtId="0" fontId="3" fillId="0" borderId="33" xfId="0" applyFont="1" applyBorder="1" applyAlignment="1" applyProtection="1">
      <alignment vertical="top"/>
      <protection hidden="1"/>
    </xf>
    <xf numFmtId="0" fontId="3" fillId="0" borderId="6" xfId="0" applyFont="1" applyBorder="1" applyAlignment="1" applyProtection="1">
      <alignment horizontal="center"/>
      <protection hidden="1"/>
    </xf>
    <xf numFmtId="187" fontId="3" fillId="0" borderId="34" xfId="1" applyFont="1" applyBorder="1" applyAlignment="1" applyProtection="1">
      <alignment horizontal="center"/>
      <protection hidden="1"/>
    </xf>
    <xf numFmtId="187" fontId="3" fillId="0" borderId="29" xfId="1" applyFont="1" applyBorder="1" applyAlignment="1" applyProtection="1">
      <alignment horizontal="center"/>
      <protection hidden="1"/>
    </xf>
    <xf numFmtId="187" fontId="3" fillId="0" borderId="20" xfId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protection hidden="1"/>
    </xf>
    <xf numFmtId="0" fontId="3" fillId="0" borderId="33" xfId="0" applyFont="1" applyBorder="1" applyAlignment="1" applyProtection="1">
      <protection hidden="1"/>
    </xf>
    <xf numFmtId="0" fontId="3" fillId="0" borderId="25" xfId="0" applyFont="1" applyBorder="1" applyAlignment="1" applyProtection="1">
      <protection hidden="1"/>
    </xf>
    <xf numFmtId="0" fontId="3" fillId="0" borderId="6" xfId="0" applyFont="1" applyBorder="1" applyAlignment="1" applyProtection="1">
      <protection hidden="1"/>
    </xf>
    <xf numFmtId="0" fontId="3" fillId="0" borderId="30" xfId="0" applyFont="1" applyBorder="1" applyAlignment="1" applyProtection="1">
      <alignment horizontal="center"/>
      <protection hidden="1"/>
    </xf>
    <xf numFmtId="187" fontId="3" fillId="0" borderId="46" xfId="1" applyFont="1" applyBorder="1" applyAlignment="1" applyProtection="1">
      <alignment horizontal="center" vertical="center"/>
      <protection hidden="1"/>
    </xf>
    <xf numFmtId="187" fontId="3" fillId="0" borderId="48" xfId="1" applyFont="1" applyBorder="1" applyAlignment="1" applyProtection="1">
      <alignment horizontal="center" vertical="center"/>
      <protection hidden="1"/>
    </xf>
    <xf numFmtId="187" fontId="3" fillId="0" borderId="47" xfId="1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left" vertical="top" indent="2"/>
      <protection hidden="1"/>
    </xf>
    <xf numFmtId="192" fontId="3" fillId="0" borderId="9" xfId="1" applyNumberFormat="1" applyFont="1" applyBorder="1" applyAlignment="1" applyProtection="1">
      <alignment horizontal="center" vertical="top"/>
      <protection locked="0"/>
    </xf>
    <xf numFmtId="0" fontId="3" fillId="0" borderId="9" xfId="0" applyFont="1" applyBorder="1" applyAlignment="1" applyProtection="1">
      <alignment vertical="top"/>
      <protection hidden="1"/>
    </xf>
    <xf numFmtId="0" fontId="3" fillId="0" borderId="9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left" vertical="top" indent="2"/>
      <protection hidden="1"/>
    </xf>
    <xf numFmtId="192" fontId="3" fillId="0" borderId="6" xfId="1" applyNumberFormat="1" applyFont="1" applyBorder="1" applyAlignment="1" applyProtection="1">
      <alignment horizontal="center" vertical="top"/>
      <protection hidden="1"/>
    </xf>
    <xf numFmtId="0" fontId="3" fillId="0" borderId="6" xfId="0" applyFont="1" applyBorder="1" applyAlignment="1" applyProtection="1">
      <alignment vertical="top"/>
      <protection hidden="1"/>
    </xf>
    <xf numFmtId="0" fontId="3" fillId="3" borderId="39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43" fontId="3" fillId="3" borderId="15" xfId="1" applyNumberFormat="1" applyFont="1" applyFill="1" applyBorder="1" applyAlignment="1">
      <alignment horizontal="center" vertical="center"/>
    </xf>
    <xf numFmtId="43" fontId="3" fillId="3" borderId="16" xfId="1" applyNumberFormat="1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/>
      <protection hidden="1"/>
    </xf>
    <xf numFmtId="0" fontId="3" fillId="3" borderId="37" xfId="0" applyFont="1" applyFill="1" applyBorder="1" applyAlignment="1">
      <alignment vertical="center"/>
    </xf>
    <xf numFmtId="0" fontId="3" fillId="3" borderId="38" xfId="0" applyFont="1" applyFill="1" applyBorder="1" applyAlignment="1">
      <alignment vertical="center"/>
    </xf>
    <xf numFmtId="187" fontId="3" fillId="3" borderId="19" xfId="1" applyFont="1" applyFill="1" applyBorder="1" applyAlignment="1">
      <alignment horizontal="center" vertical="center"/>
    </xf>
    <xf numFmtId="187" fontId="3" fillId="3" borderId="38" xfId="1" applyFont="1" applyFill="1" applyBorder="1" applyAlignment="1">
      <alignment horizontal="center" vertical="center"/>
    </xf>
    <xf numFmtId="187" fontId="5" fillId="3" borderId="46" xfId="1" applyFont="1" applyFill="1" applyBorder="1" applyAlignment="1" applyProtection="1">
      <alignment horizontal="center" vertical="center"/>
      <protection hidden="1"/>
    </xf>
    <xf numFmtId="187" fontId="5" fillId="3" borderId="47" xfId="1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  <protection hidden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ปกติ_รายละเอียดงานสีตีเส้น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619125</xdr:colOff>
      <xdr:row>130</xdr:row>
      <xdr:rowOff>38100</xdr:rowOff>
    </xdr:from>
    <xdr:to>
      <xdr:col>5</xdr:col>
      <xdr:colOff>161925</xdr:colOff>
      <xdr:row>130</xdr:row>
      <xdr:rowOff>247650</xdr:rowOff>
    </xdr:to>
    <xdr:sp macro="" textlink="">
      <xdr:nvSpPr>
        <xdr:cNvPr id="4097" name="Rectangle 1">
          <a:extLst>
            <a:ext uri="{FF2B5EF4-FFF2-40B4-BE49-F238E27FC236}">
              <a16:creationId xmlns="" xmlns:a16="http://schemas.microsoft.com/office/drawing/2014/main" id="{E7C3EA80-874F-4671-AEBB-9415AAFC0C52}"/>
            </a:ext>
          </a:extLst>
        </xdr:cNvPr>
        <xdr:cNvSpPr>
          <a:spLocks noChangeArrowheads="1"/>
        </xdr:cNvSpPr>
      </xdr:nvSpPr>
      <xdr:spPr bwMode="auto">
        <a:xfrm>
          <a:off x="2733675" y="32518350"/>
          <a:ext cx="276225" cy="20955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54864" rIns="0" bIns="0" anchor="t" upright="1"/>
        <a:lstStyle/>
        <a:p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x</a:t>
          </a:r>
        </a:p>
      </xdr:txBody>
    </xdr:sp>
    <xdr:clientData/>
  </xdr:twoCellAnchor>
  <xdr:twoCellAnchor>
    <xdr:from>
      <xdr:col>5</xdr:col>
      <xdr:colOff>581025</xdr:colOff>
      <xdr:row>130</xdr:row>
      <xdr:rowOff>28575</xdr:rowOff>
    </xdr:from>
    <xdr:to>
      <xdr:col>6</xdr:col>
      <xdr:colOff>161925</xdr:colOff>
      <xdr:row>130</xdr:row>
      <xdr:rowOff>238125</xdr:rowOff>
    </xdr:to>
    <xdr:sp macro="" textlink="">
      <xdr:nvSpPr>
        <xdr:cNvPr id="4098" name="Rectangle 2">
          <a:extLst>
            <a:ext uri="{FF2B5EF4-FFF2-40B4-BE49-F238E27FC236}">
              <a16:creationId xmlns="" xmlns:a16="http://schemas.microsoft.com/office/drawing/2014/main" id="{5E3095B5-0F5D-4485-9348-D8E1C54389B4}"/>
            </a:ext>
          </a:extLst>
        </xdr:cNvPr>
        <xdr:cNvSpPr>
          <a:spLocks noChangeArrowheads="1"/>
        </xdr:cNvSpPr>
      </xdr:nvSpPr>
      <xdr:spPr bwMode="auto">
        <a:xfrm>
          <a:off x="3429000" y="32508825"/>
          <a:ext cx="209550" cy="20955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54864" rIns="0" bIns="0" anchor="t" upright="1"/>
        <a:lstStyle/>
        <a:p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x</a:t>
          </a:r>
        </a:p>
      </xdr:txBody>
    </xdr:sp>
    <xdr:clientData/>
  </xdr:twoCellAnchor>
  <xdr:twoCellAnchor>
    <xdr:from>
      <xdr:col>4</xdr:col>
      <xdr:colOff>619125</xdr:colOff>
      <xdr:row>130</xdr:row>
      <xdr:rowOff>38100</xdr:rowOff>
    </xdr:from>
    <xdr:to>
      <xdr:col>5</xdr:col>
      <xdr:colOff>161925</xdr:colOff>
      <xdr:row>130</xdr:row>
      <xdr:rowOff>247650</xdr:rowOff>
    </xdr:to>
    <xdr:sp macro="" textlink="">
      <xdr:nvSpPr>
        <xdr:cNvPr id="4099" name="Rectangle 3">
          <a:extLst>
            <a:ext uri="{FF2B5EF4-FFF2-40B4-BE49-F238E27FC236}">
              <a16:creationId xmlns="" xmlns:a16="http://schemas.microsoft.com/office/drawing/2014/main" id="{484EBE52-7AE1-455D-A285-D281844F9A9A}"/>
            </a:ext>
          </a:extLst>
        </xdr:cNvPr>
        <xdr:cNvSpPr>
          <a:spLocks noChangeArrowheads="1"/>
        </xdr:cNvSpPr>
      </xdr:nvSpPr>
      <xdr:spPr bwMode="auto">
        <a:xfrm>
          <a:off x="2733675" y="32518350"/>
          <a:ext cx="276225" cy="20955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54864" rIns="0" bIns="0" anchor="t" upright="1"/>
        <a:lstStyle/>
        <a:p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x</a:t>
          </a:r>
        </a:p>
      </xdr:txBody>
    </xdr:sp>
    <xdr:clientData/>
  </xdr:twoCellAnchor>
  <xdr:twoCellAnchor>
    <xdr:from>
      <xdr:col>4</xdr:col>
      <xdr:colOff>619125</xdr:colOff>
      <xdr:row>144</xdr:row>
      <xdr:rowOff>38100</xdr:rowOff>
    </xdr:from>
    <xdr:to>
      <xdr:col>5</xdr:col>
      <xdr:colOff>161925</xdr:colOff>
      <xdr:row>144</xdr:row>
      <xdr:rowOff>247650</xdr:rowOff>
    </xdr:to>
    <xdr:sp macro="" textlink="">
      <xdr:nvSpPr>
        <xdr:cNvPr id="4100" name="Rectangle 4">
          <a:extLst>
            <a:ext uri="{FF2B5EF4-FFF2-40B4-BE49-F238E27FC236}">
              <a16:creationId xmlns="" xmlns:a16="http://schemas.microsoft.com/office/drawing/2014/main" id="{843835C1-9E0D-4231-80E9-BD021583EE89}"/>
            </a:ext>
          </a:extLst>
        </xdr:cNvPr>
        <xdr:cNvSpPr>
          <a:spLocks noChangeArrowheads="1"/>
        </xdr:cNvSpPr>
      </xdr:nvSpPr>
      <xdr:spPr bwMode="auto">
        <a:xfrm>
          <a:off x="2733675" y="36385500"/>
          <a:ext cx="276225" cy="20955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54864" rIns="0" bIns="0" anchor="t" upright="1"/>
        <a:lstStyle/>
        <a:p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x</a:t>
          </a:r>
        </a:p>
      </xdr:txBody>
    </xdr:sp>
    <xdr:clientData/>
  </xdr:twoCellAnchor>
  <xdr:twoCellAnchor>
    <xdr:from>
      <xdr:col>5</xdr:col>
      <xdr:colOff>581025</xdr:colOff>
      <xdr:row>144</xdr:row>
      <xdr:rowOff>28575</xdr:rowOff>
    </xdr:from>
    <xdr:to>
      <xdr:col>6</xdr:col>
      <xdr:colOff>161925</xdr:colOff>
      <xdr:row>144</xdr:row>
      <xdr:rowOff>238125</xdr:rowOff>
    </xdr:to>
    <xdr:sp macro="" textlink="">
      <xdr:nvSpPr>
        <xdr:cNvPr id="4101" name="Rectangle 5">
          <a:extLst>
            <a:ext uri="{FF2B5EF4-FFF2-40B4-BE49-F238E27FC236}">
              <a16:creationId xmlns="" xmlns:a16="http://schemas.microsoft.com/office/drawing/2014/main" id="{AD2D462C-7B18-4F43-89DF-2C6BD3BE07F7}"/>
            </a:ext>
          </a:extLst>
        </xdr:cNvPr>
        <xdr:cNvSpPr>
          <a:spLocks noChangeArrowheads="1"/>
        </xdr:cNvSpPr>
      </xdr:nvSpPr>
      <xdr:spPr bwMode="auto">
        <a:xfrm>
          <a:off x="3429000" y="36375975"/>
          <a:ext cx="209550" cy="20955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54864" rIns="0" bIns="0" anchor="t" upright="1"/>
        <a:lstStyle/>
        <a:p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x</a:t>
          </a:r>
        </a:p>
      </xdr:txBody>
    </xdr:sp>
    <xdr:clientData/>
  </xdr:twoCellAnchor>
  <xdr:twoCellAnchor>
    <xdr:from>
      <xdr:col>4</xdr:col>
      <xdr:colOff>619125</xdr:colOff>
      <xdr:row>144</xdr:row>
      <xdr:rowOff>38100</xdr:rowOff>
    </xdr:from>
    <xdr:to>
      <xdr:col>5</xdr:col>
      <xdr:colOff>161925</xdr:colOff>
      <xdr:row>144</xdr:row>
      <xdr:rowOff>247650</xdr:rowOff>
    </xdr:to>
    <xdr:sp macro="" textlink="">
      <xdr:nvSpPr>
        <xdr:cNvPr id="4102" name="Rectangle 6">
          <a:extLst>
            <a:ext uri="{FF2B5EF4-FFF2-40B4-BE49-F238E27FC236}">
              <a16:creationId xmlns="" xmlns:a16="http://schemas.microsoft.com/office/drawing/2014/main" id="{CECD5805-B177-46A7-90AC-0B5FE0EB1DEE}"/>
            </a:ext>
          </a:extLst>
        </xdr:cNvPr>
        <xdr:cNvSpPr>
          <a:spLocks noChangeArrowheads="1"/>
        </xdr:cNvSpPr>
      </xdr:nvSpPr>
      <xdr:spPr bwMode="auto">
        <a:xfrm>
          <a:off x="2733675" y="36385500"/>
          <a:ext cx="276225" cy="20955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54864" rIns="0" bIns="0" anchor="t" upright="1"/>
        <a:lstStyle/>
        <a:p>
          <a:pPr algn="l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x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41</xdr:row>
      <xdr:rowOff>190500</xdr:rowOff>
    </xdr:from>
    <xdr:ext cx="4908075" cy="957955"/>
    <xdr:sp macro="" textlink="">
      <xdr:nvSpPr>
        <xdr:cNvPr id="2050" name="Rectangle 2">
          <a:extLst>
            <a:ext uri="{FF2B5EF4-FFF2-40B4-BE49-F238E27FC236}">
              <a16:creationId xmlns="" xmlns:a16="http://schemas.microsoft.com/office/drawing/2014/main" id="{8F328DC7-F798-4DE7-BDA6-D618655F7A52}"/>
            </a:ext>
          </a:extLst>
        </xdr:cNvPr>
        <xdr:cNvSpPr>
          <a:spLocks noChangeArrowheads="1"/>
        </xdr:cNvSpPr>
      </xdr:nvSpPr>
      <xdr:spPr bwMode="auto">
        <a:xfrm>
          <a:off x="428625" y="10991850"/>
          <a:ext cx="4908075" cy="9579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50292" rIns="0" bIns="0" anchor="t" upright="1">
          <a:spAutoFit/>
        </a:bodyPr>
        <a:lstStyle/>
        <a:p>
          <a:pPr algn="l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ลงชื่อ.....................................................................ผู้คิดราคา</a:t>
          </a:r>
        </a:p>
        <a:p>
          <a:pPr algn="l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      ( .................................................................. )</a:t>
          </a:r>
        </a:p>
        <a:p>
          <a:pPr algn="l" rtl="0">
            <a:lnSpc>
              <a:spcPts val="1700"/>
            </a:lnSpc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ใบอนุญาต กว.เลขที่.....................................ประเภท........................................สาขา.....................................</a:t>
          </a:r>
        </a:p>
        <a:p>
          <a:pPr algn="l" rtl="0">
            <a:lnSpc>
              <a:spcPts val="1500"/>
            </a:lnSpc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ข้อสำคัญ:</a:t>
          </a:r>
          <a:r>
            <a:rPr lang="en-US" sz="12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 ต้องกรอกข้อความตัวเลขในใบแจ้งปริมาณงานและราคาข้างต้นให้ถูกต้องครบถ้วน</a:t>
          </a:r>
        </a:p>
      </xdr:txBody>
    </xdr:sp>
    <xdr:clientData/>
  </xdr:oneCellAnchor>
  <xdr:oneCellAnchor>
    <xdr:from>
      <xdr:col>5</xdr:col>
      <xdr:colOff>1095375</xdr:colOff>
      <xdr:row>42</xdr:row>
      <xdr:rowOff>0</xdr:rowOff>
    </xdr:from>
    <xdr:ext cx="2857500" cy="866775"/>
    <xdr:sp macro="" textlink="">
      <xdr:nvSpPr>
        <xdr:cNvPr id="2051" name="Rectangle 3">
          <a:extLst>
            <a:ext uri="{FF2B5EF4-FFF2-40B4-BE49-F238E27FC236}">
              <a16:creationId xmlns="" xmlns:a16="http://schemas.microsoft.com/office/drawing/2014/main" id="{EAF7C759-8C76-4524-8672-EDDB62B9E679}"/>
            </a:ext>
          </a:extLst>
        </xdr:cNvPr>
        <xdr:cNvSpPr>
          <a:spLocks noChangeArrowheads="1"/>
        </xdr:cNvSpPr>
      </xdr:nvSpPr>
      <xdr:spPr bwMode="auto">
        <a:xfrm>
          <a:off x="6505575" y="11087100"/>
          <a:ext cx="285750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50292" rIns="0" bIns="0" anchor="t" upright="1">
          <a:spAutoFit/>
        </a:bodyPr>
        <a:lstStyle/>
        <a:p>
          <a:pPr algn="l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ลงชื่อ.....................................................................ผู้เสนอราคา</a:t>
          </a:r>
        </a:p>
        <a:p>
          <a:pPr algn="l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      ( .................................................................. )</a:t>
          </a:r>
        </a:p>
        <a:p>
          <a:pPr algn="l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TH SarabunPSK"/>
              <a:cs typeface="TH SarabunPSK"/>
            </a:rPr>
            <a:t>                         ประทับตรา/ถ้ามี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91;&#3634;&#3609;&#3592;&#3634;&#3585;%20HDD%20&#3621;&#3641;&#3585;&#3648;&#3585;&#3656;&#3634;\Data\&#3591;&#3634;&#3609;&#3611;&#3637;%2048-53%20(&#3629;&#3610;&#3605;.)\&#3611;&#3619;&#3632;&#3617;&#3634;&#3603;&#3619;&#3634;&#3588;&#3634;&#3591;&#3634;&#3609;&#3595;&#3656;&#3629;&#3617;&#3626;&#3619;&#3657;&#3634;&#3591;%20A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1"/>
      <sheetName val="กรอกราคาวัสดุที่แหล่ง"/>
      <sheetName val="BoxMat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F ฝนชุก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>
        <row r="212">
          <cell r="BL212">
            <v>1.36</v>
          </cell>
        </row>
        <row r="225">
          <cell r="CM225">
            <v>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128">
          <cell r="A3128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6"/>
  <sheetViews>
    <sheetView topLeftCell="A4" workbookViewId="0">
      <selection activeCell="G108" sqref="G108"/>
    </sheetView>
  </sheetViews>
  <sheetFormatPr defaultColWidth="9.140625" defaultRowHeight="19.5" customHeight="1" x14ac:dyDescent="0.3"/>
  <cols>
    <col min="1" max="1" width="9.140625" style="1"/>
    <col min="2" max="2" width="3.28515625" style="1" customWidth="1"/>
    <col min="3" max="3" width="9.140625" style="1"/>
    <col min="4" max="4" width="10.140625" style="1" customWidth="1"/>
    <col min="5" max="5" width="11" style="1" bestFit="1" customWidth="1"/>
    <col min="6" max="6" width="9.42578125" style="1" customWidth="1"/>
    <col min="7" max="7" width="9.7109375" style="1" customWidth="1"/>
    <col min="8" max="8" width="5.5703125" style="12" customWidth="1"/>
    <col min="9" max="9" width="10.7109375" style="3" customWidth="1"/>
    <col min="10" max="13" width="9.140625" style="1"/>
    <col min="14" max="14" width="7.42578125" style="5" customWidth="1"/>
    <col min="15" max="15" width="1.5703125" style="5" customWidth="1"/>
    <col min="16" max="16384" width="9.140625" style="1"/>
  </cols>
  <sheetData>
    <row r="1" spans="1:15" s="3" customFormat="1" ht="19.5" customHeight="1" x14ac:dyDescent="0.4">
      <c r="A1" s="344" t="s">
        <v>200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208"/>
      <c r="M1" s="208"/>
      <c r="N1" s="208"/>
      <c r="O1" s="208"/>
    </row>
    <row r="2" spans="1:15" s="3" customFormat="1" ht="19.5" customHeight="1" x14ac:dyDescent="0.35">
      <c r="A2" s="345" t="s">
        <v>147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209"/>
      <c r="M2" s="209"/>
      <c r="N2" s="209"/>
      <c r="O2" s="209"/>
    </row>
    <row r="3" spans="1:15" s="3" customFormat="1" ht="19.5" customHeight="1" x14ac:dyDescent="0.3">
      <c r="A3" s="210" t="s">
        <v>148</v>
      </c>
      <c r="B3" s="3" t="s">
        <v>149</v>
      </c>
      <c r="G3" s="211" t="s">
        <v>4</v>
      </c>
      <c r="H3" s="212"/>
      <c r="N3" s="4"/>
      <c r="O3" s="4"/>
    </row>
    <row r="4" spans="1:15" s="3" customFormat="1" ht="19.5" customHeight="1" x14ac:dyDescent="0.3">
      <c r="A4" s="210" t="s">
        <v>150</v>
      </c>
      <c r="B4" s="3" t="s">
        <v>201</v>
      </c>
      <c r="H4" s="213"/>
      <c r="N4" s="4"/>
      <c r="O4" s="4"/>
    </row>
    <row r="5" spans="1:15" s="3" customFormat="1" ht="19.5" customHeight="1" x14ac:dyDescent="0.3">
      <c r="A5" s="210" t="s">
        <v>151</v>
      </c>
      <c r="C5" s="346">
        <v>17.61</v>
      </c>
      <c r="D5" s="346"/>
      <c r="E5" s="210" t="s">
        <v>152</v>
      </c>
      <c r="H5" s="214"/>
      <c r="N5" s="4"/>
      <c r="O5" s="4"/>
    </row>
    <row r="6" spans="1:15" ht="19.5" customHeight="1" x14ac:dyDescent="0.35">
      <c r="A6" s="229"/>
    </row>
    <row r="7" spans="1:15" s="5" customFormat="1" ht="19.5" customHeight="1" x14ac:dyDescent="0.3">
      <c r="A7" s="8" t="s">
        <v>81</v>
      </c>
      <c r="B7" s="228"/>
      <c r="I7" s="9"/>
    </row>
    <row r="8" spans="1:15" s="5" customFormat="1" ht="19.5" customHeight="1" x14ac:dyDescent="0.3">
      <c r="A8" s="5" t="s">
        <v>82</v>
      </c>
      <c r="H8" s="9" t="s">
        <v>5</v>
      </c>
      <c r="I8" s="197">
        <v>1.56</v>
      </c>
      <c r="J8" s="5" t="s">
        <v>6</v>
      </c>
    </row>
    <row r="9" spans="1:15" s="5" customFormat="1" ht="19.5" customHeight="1" x14ac:dyDescent="0.3">
      <c r="A9" s="5" t="s">
        <v>83</v>
      </c>
      <c r="H9" s="9" t="s">
        <v>5</v>
      </c>
      <c r="I9" s="197">
        <v>3.25</v>
      </c>
      <c r="J9" s="5" t="s">
        <v>6</v>
      </c>
    </row>
    <row r="10" spans="1:15" s="5" customFormat="1" ht="19.5" customHeight="1" x14ac:dyDescent="0.3">
      <c r="A10" s="5" t="s">
        <v>84</v>
      </c>
      <c r="H10" s="9" t="s">
        <v>5</v>
      </c>
      <c r="I10" s="197">
        <v>4.83</v>
      </c>
      <c r="J10" s="5" t="s">
        <v>6</v>
      </c>
    </row>
    <row r="11" spans="1:15" s="5" customFormat="1" ht="19.5" customHeight="1" x14ac:dyDescent="0.3">
      <c r="H11" s="9"/>
      <c r="I11" s="197"/>
    </row>
    <row r="12" spans="1:15" s="5" customFormat="1" ht="19.5" customHeight="1" x14ac:dyDescent="0.3">
      <c r="A12" s="8" t="s">
        <v>85</v>
      </c>
      <c r="B12" s="228"/>
      <c r="H12" s="9"/>
    </row>
    <row r="13" spans="1:15" s="5" customFormat="1" ht="19.5" customHeight="1" x14ac:dyDescent="0.3">
      <c r="A13" s="5" t="s">
        <v>86</v>
      </c>
      <c r="H13" s="9" t="s">
        <v>5</v>
      </c>
      <c r="I13" s="5">
        <v>9.6300000000000008</v>
      </c>
      <c r="J13" s="5" t="s">
        <v>6</v>
      </c>
    </row>
    <row r="14" spans="1:15" s="5" customFormat="1" ht="19.5" customHeight="1" x14ac:dyDescent="0.3">
      <c r="A14" s="5" t="s">
        <v>87</v>
      </c>
      <c r="H14" s="9" t="s">
        <v>5</v>
      </c>
      <c r="I14" s="6">
        <v>12.54</v>
      </c>
      <c r="J14" s="5" t="s">
        <v>6</v>
      </c>
    </row>
    <row r="15" spans="1:15" s="5" customFormat="1" ht="19.5" customHeight="1" x14ac:dyDescent="0.3">
      <c r="A15" s="5" t="s">
        <v>88</v>
      </c>
      <c r="H15" s="9" t="s">
        <v>5</v>
      </c>
      <c r="I15" s="5">
        <v>10.09</v>
      </c>
      <c r="J15" s="5" t="s">
        <v>6</v>
      </c>
    </row>
    <row r="17" spans="1:13" ht="19.5" customHeight="1" x14ac:dyDescent="0.3">
      <c r="A17" s="35" t="s">
        <v>206</v>
      </c>
    </row>
    <row r="18" spans="1:13" ht="19.5" customHeight="1" x14ac:dyDescent="0.3">
      <c r="A18" s="1" t="s">
        <v>207</v>
      </c>
    </row>
    <row r="19" spans="1:13" ht="19.5" customHeight="1" x14ac:dyDescent="0.3">
      <c r="A19" s="1" t="s">
        <v>208</v>
      </c>
      <c r="H19" s="13" t="s">
        <v>5</v>
      </c>
      <c r="I19" s="3">
        <v>10.09</v>
      </c>
      <c r="J19" s="5" t="s">
        <v>6</v>
      </c>
    </row>
    <row r="20" spans="1:13" ht="19.5" customHeight="1" x14ac:dyDescent="0.3">
      <c r="A20" s="1" t="s">
        <v>209</v>
      </c>
      <c r="H20" s="13"/>
      <c r="J20" s="5"/>
    </row>
    <row r="21" spans="1:13" ht="19.5" customHeight="1" x14ac:dyDescent="0.3">
      <c r="A21" s="1" t="s">
        <v>210</v>
      </c>
      <c r="H21" s="13"/>
      <c r="J21" s="5"/>
    </row>
    <row r="22" spans="1:13" ht="19.5" customHeight="1" x14ac:dyDescent="0.3">
      <c r="A22" s="1" t="s">
        <v>211</v>
      </c>
      <c r="H22" s="13"/>
      <c r="J22" s="5"/>
    </row>
    <row r="23" spans="1:13" ht="19.5" customHeight="1" x14ac:dyDescent="0.3">
      <c r="A23" s="1" t="s">
        <v>214</v>
      </c>
      <c r="F23" s="231">
        <v>34.53</v>
      </c>
      <c r="H23" s="13" t="s">
        <v>5</v>
      </c>
      <c r="I23" s="3">
        <f>F23*0.08</f>
        <v>2.7624</v>
      </c>
      <c r="J23" s="5" t="s">
        <v>6</v>
      </c>
    </row>
    <row r="24" spans="1:13" ht="19.5" customHeight="1" x14ac:dyDescent="0.3">
      <c r="A24" s="1" t="s">
        <v>213</v>
      </c>
      <c r="D24" s="231">
        <v>10.73</v>
      </c>
      <c r="H24" s="13" t="s">
        <v>5</v>
      </c>
      <c r="I24" s="3">
        <f>D24*0.08</f>
        <v>0.85840000000000005</v>
      </c>
      <c r="J24" s="5" t="s">
        <v>6</v>
      </c>
    </row>
    <row r="25" spans="1:13" ht="19.5" customHeight="1" x14ac:dyDescent="0.3">
      <c r="A25" s="5" t="s">
        <v>109</v>
      </c>
      <c r="B25" s="5"/>
      <c r="C25" s="5"/>
      <c r="D25" s="5"/>
      <c r="E25" s="5"/>
      <c r="F25" s="5"/>
      <c r="G25" s="5"/>
      <c r="H25" s="13" t="s">
        <v>5</v>
      </c>
      <c r="I25" s="199">
        <f>SUM(I19:I24)</f>
        <v>13.710799999999999</v>
      </c>
      <c r="J25" s="5" t="s">
        <v>6</v>
      </c>
      <c r="K25" s="5"/>
      <c r="L25" s="5"/>
      <c r="M25" s="5"/>
    </row>
    <row r="26" spans="1:13" ht="19.5" customHeight="1" thickBot="1" x14ac:dyDescent="0.35">
      <c r="A26" s="5" t="s">
        <v>159</v>
      </c>
      <c r="B26" s="5"/>
      <c r="C26" s="5"/>
      <c r="D26" s="5"/>
      <c r="E26" s="5"/>
      <c r="F26" s="5"/>
      <c r="G26" s="5"/>
      <c r="H26" s="13" t="s">
        <v>5</v>
      </c>
      <c r="I26" s="216">
        <f>FLOOR(I25,0.01)</f>
        <v>13.71</v>
      </c>
      <c r="J26" s="5" t="s">
        <v>6</v>
      </c>
      <c r="K26" s="5"/>
      <c r="L26" s="5"/>
      <c r="M26" s="5"/>
    </row>
    <row r="27" spans="1:13" ht="19.5" customHeight="1" thickTop="1" x14ac:dyDescent="0.3"/>
    <row r="28" spans="1:13" ht="19.5" customHeight="1" x14ac:dyDescent="0.3">
      <c r="A28" s="8" t="s">
        <v>215</v>
      </c>
      <c r="B28" s="5"/>
      <c r="C28" s="5"/>
      <c r="D28" s="5"/>
      <c r="E28" s="5"/>
      <c r="F28" s="5"/>
      <c r="G28" s="5"/>
      <c r="H28" s="13"/>
      <c r="I28" s="4"/>
      <c r="J28" s="5"/>
      <c r="K28" s="5"/>
      <c r="L28" s="5"/>
      <c r="M28" s="5"/>
    </row>
    <row r="29" spans="1:13" ht="19.5" customHeight="1" x14ac:dyDescent="0.3">
      <c r="A29" s="5" t="s">
        <v>203</v>
      </c>
      <c r="B29" s="5"/>
      <c r="C29" s="5"/>
      <c r="D29" s="5"/>
      <c r="E29" s="5"/>
      <c r="F29" s="5"/>
      <c r="G29" s="5"/>
      <c r="H29" s="13" t="s">
        <v>5</v>
      </c>
      <c r="I29" s="230">
        <v>7.23</v>
      </c>
      <c r="J29" s="5" t="s">
        <v>80</v>
      </c>
      <c r="K29" s="5"/>
      <c r="L29" s="5"/>
      <c r="M29" s="5"/>
    </row>
    <row r="30" spans="1:13" ht="19.5" customHeight="1" x14ac:dyDescent="0.3">
      <c r="A30" s="5" t="s">
        <v>212</v>
      </c>
      <c r="B30" s="5"/>
      <c r="C30" s="5"/>
      <c r="D30" s="5"/>
      <c r="E30" s="5"/>
      <c r="F30" s="5"/>
      <c r="G30" s="5"/>
      <c r="H30" s="13" t="s">
        <v>5</v>
      </c>
      <c r="I30" s="230">
        <v>10.73</v>
      </c>
      <c r="J30" s="5" t="s">
        <v>80</v>
      </c>
      <c r="K30" s="5"/>
      <c r="L30" s="5"/>
      <c r="M30" s="5"/>
    </row>
    <row r="31" spans="1:13" ht="19.5" customHeight="1" x14ac:dyDescent="0.3">
      <c r="A31" s="5" t="s">
        <v>157</v>
      </c>
      <c r="B31" s="5"/>
      <c r="C31" s="5"/>
      <c r="D31" s="5"/>
      <c r="E31" s="5"/>
      <c r="F31" s="5"/>
      <c r="G31" s="5"/>
      <c r="H31" s="13" t="s">
        <v>5</v>
      </c>
      <c r="I31" s="199">
        <f>SUM(I29:I30)</f>
        <v>17.96</v>
      </c>
      <c r="J31" s="5" t="s">
        <v>80</v>
      </c>
      <c r="K31" s="5"/>
      <c r="L31" s="5"/>
      <c r="M31" s="5"/>
    </row>
    <row r="32" spans="1:13" ht="19.5" customHeight="1" x14ac:dyDescent="0.3">
      <c r="A32" s="5"/>
      <c r="B32" s="5"/>
      <c r="C32" s="5"/>
      <c r="D32" s="5"/>
      <c r="E32" s="5" t="s">
        <v>205</v>
      </c>
      <c r="F32" s="5"/>
      <c r="G32" s="5"/>
      <c r="H32" s="13" t="s">
        <v>5</v>
      </c>
      <c r="I32" s="199">
        <f>I31*1.25</f>
        <v>22.450000000000003</v>
      </c>
      <c r="J32" s="5" t="s">
        <v>80</v>
      </c>
      <c r="K32" s="5"/>
      <c r="L32" s="5"/>
      <c r="M32" s="5"/>
    </row>
    <row r="33" spans="1:13" ht="19.5" customHeight="1" x14ac:dyDescent="0.3">
      <c r="A33" s="5" t="s">
        <v>204</v>
      </c>
      <c r="B33" s="5"/>
      <c r="C33" s="5"/>
      <c r="D33" s="5"/>
      <c r="E33" s="5"/>
      <c r="F33" s="5"/>
      <c r="G33" s="5"/>
      <c r="H33" s="13" t="s">
        <v>5</v>
      </c>
      <c r="I33" s="215">
        <v>0</v>
      </c>
      <c r="J33" s="5" t="s">
        <v>80</v>
      </c>
      <c r="K33" s="5"/>
      <c r="L33" s="5"/>
      <c r="M33" s="5"/>
    </row>
    <row r="34" spans="1:13" ht="19.5" customHeight="1" x14ac:dyDescent="0.3">
      <c r="A34" s="5" t="s">
        <v>109</v>
      </c>
      <c r="B34" s="5"/>
      <c r="C34" s="5"/>
      <c r="D34" s="5"/>
      <c r="E34" s="5"/>
      <c r="F34" s="5"/>
      <c r="G34" s="5"/>
      <c r="H34" s="13" t="s">
        <v>5</v>
      </c>
      <c r="I34" s="199">
        <f>SUM(I32:I33)</f>
        <v>22.450000000000003</v>
      </c>
      <c r="J34" s="5" t="s">
        <v>80</v>
      </c>
      <c r="K34" s="5"/>
      <c r="L34" s="5"/>
      <c r="M34" s="5"/>
    </row>
    <row r="35" spans="1:13" ht="19.5" customHeight="1" thickBot="1" x14ac:dyDescent="0.35">
      <c r="A35" s="5" t="s">
        <v>159</v>
      </c>
      <c r="B35" s="5"/>
      <c r="C35" s="5"/>
      <c r="D35" s="5"/>
      <c r="E35" s="5"/>
      <c r="F35" s="5"/>
      <c r="G35" s="5"/>
      <c r="H35" s="13" t="s">
        <v>5</v>
      </c>
      <c r="I35" s="216">
        <f>FLOOR(I34,0.1)</f>
        <v>22.400000000000002</v>
      </c>
      <c r="J35" s="5" t="s">
        <v>80</v>
      </c>
      <c r="K35" s="5"/>
      <c r="L35" s="5"/>
      <c r="M35" s="5"/>
    </row>
    <row r="36" spans="1:13" ht="19.5" customHeight="1" thickTop="1" x14ac:dyDescent="0.3">
      <c r="A36" s="5"/>
      <c r="B36" s="5"/>
      <c r="C36" s="5"/>
      <c r="D36" s="5"/>
      <c r="E36" s="5"/>
      <c r="F36" s="5"/>
      <c r="G36" s="5"/>
      <c r="H36" s="13"/>
      <c r="I36" s="199"/>
      <c r="J36" s="5"/>
      <c r="K36" s="5"/>
      <c r="L36" s="5"/>
      <c r="M36" s="5"/>
    </row>
    <row r="37" spans="1:13" ht="19.5" customHeight="1" x14ac:dyDescent="0.3">
      <c r="A37" s="5"/>
      <c r="B37" s="5"/>
      <c r="C37" s="5"/>
      <c r="D37" s="5"/>
      <c r="E37" s="5"/>
      <c r="F37" s="5"/>
      <c r="G37" s="5"/>
      <c r="H37" s="13"/>
      <c r="I37" s="199"/>
      <c r="J37" s="5"/>
      <c r="K37" s="5"/>
      <c r="L37" s="5"/>
      <c r="M37" s="5"/>
    </row>
    <row r="38" spans="1:13" ht="19.5" customHeight="1" x14ac:dyDescent="0.3">
      <c r="A38" s="5"/>
      <c r="B38" s="5"/>
      <c r="C38" s="5"/>
      <c r="D38" s="5"/>
      <c r="E38" s="5"/>
      <c r="F38" s="5"/>
      <c r="G38" s="5"/>
      <c r="H38" s="13"/>
      <c r="I38" s="199"/>
      <c r="J38" s="5"/>
      <c r="K38" s="5"/>
      <c r="L38" s="5"/>
      <c r="M38" s="5"/>
    </row>
    <row r="39" spans="1:13" ht="19.5" customHeight="1" x14ac:dyDescent="0.3">
      <c r="A39" s="5"/>
      <c r="B39" s="5"/>
      <c r="C39" s="5"/>
      <c r="D39" s="5"/>
      <c r="E39" s="5"/>
      <c r="F39" s="5"/>
      <c r="G39" s="5"/>
      <c r="H39" s="13"/>
      <c r="I39" s="199"/>
      <c r="J39" s="5"/>
      <c r="K39" s="5"/>
      <c r="L39" s="5"/>
      <c r="M39" s="5"/>
    </row>
    <row r="40" spans="1:13" ht="19.5" customHeight="1" x14ac:dyDescent="0.3">
      <c r="A40" s="5"/>
      <c r="B40" s="5"/>
      <c r="C40" s="5"/>
      <c r="D40" s="5"/>
      <c r="E40" s="5"/>
      <c r="F40" s="5"/>
      <c r="G40" s="5"/>
      <c r="H40" s="13"/>
      <c r="I40" s="199"/>
      <c r="J40" s="5"/>
      <c r="K40" s="5"/>
      <c r="L40" s="5"/>
      <c r="M40" s="5"/>
    </row>
    <row r="41" spans="1:13" ht="19.5" customHeight="1" x14ac:dyDescent="0.3">
      <c r="A41" s="8" t="s">
        <v>216</v>
      </c>
      <c r="B41" s="5"/>
      <c r="C41" s="5"/>
      <c r="D41" s="5"/>
      <c r="E41" s="5"/>
      <c r="F41" s="5"/>
      <c r="G41" s="5"/>
      <c r="H41" s="13"/>
      <c r="I41" s="4"/>
      <c r="J41" s="5"/>
      <c r="K41" s="5"/>
      <c r="L41" s="5"/>
      <c r="M41" s="5"/>
    </row>
    <row r="42" spans="1:13" ht="19.5" customHeight="1" x14ac:dyDescent="0.3">
      <c r="A42" s="5" t="s">
        <v>153</v>
      </c>
      <c r="B42" s="5"/>
      <c r="C42" s="5"/>
      <c r="D42" s="5"/>
      <c r="E42" s="5"/>
      <c r="F42" s="5"/>
      <c r="G42" s="5"/>
      <c r="H42" s="13" t="s">
        <v>5</v>
      </c>
      <c r="I42" s="199">
        <v>60</v>
      </c>
      <c r="J42" s="5" t="s">
        <v>7</v>
      </c>
      <c r="K42" s="5"/>
      <c r="L42" s="5"/>
      <c r="M42" s="5"/>
    </row>
    <row r="43" spans="1:13" ht="19.5" customHeight="1" x14ac:dyDescent="0.3">
      <c r="A43" s="5" t="s">
        <v>154</v>
      </c>
      <c r="B43" s="5"/>
      <c r="C43" s="5"/>
      <c r="D43" s="5"/>
      <c r="E43" s="5"/>
      <c r="F43" s="5"/>
      <c r="G43" s="5"/>
      <c r="H43" s="13" t="s">
        <v>5</v>
      </c>
      <c r="I43" s="215">
        <v>28.13</v>
      </c>
      <c r="J43" s="5" t="s">
        <v>155</v>
      </c>
      <c r="K43" s="5"/>
      <c r="L43" s="5"/>
      <c r="M43" s="5"/>
    </row>
    <row r="44" spans="1:13" ht="19.5" customHeight="1" x14ac:dyDescent="0.3">
      <c r="A44" s="5" t="s">
        <v>156</v>
      </c>
      <c r="B44" s="5"/>
      <c r="C44" s="5"/>
      <c r="D44" s="5"/>
      <c r="E44" s="5"/>
      <c r="F44" s="5"/>
      <c r="G44" s="5"/>
      <c r="H44" s="13" t="s">
        <v>5</v>
      </c>
      <c r="I44" s="199">
        <v>61.16</v>
      </c>
      <c r="J44" s="5" t="s">
        <v>155</v>
      </c>
      <c r="K44" s="5"/>
      <c r="L44" s="5"/>
      <c r="M44" s="5"/>
    </row>
    <row r="45" spans="1:13" ht="19.5" customHeight="1" x14ac:dyDescent="0.3">
      <c r="A45" s="5" t="s">
        <v>157</v>
      </c>
      <c r="B45" s="5"/>
      <c r="C45" s="5"/>
      <c r="D45" s="5"/>
      <c r="E45" s="5"/>
      <c r="F45" s="5"/>
      <c r="G45" s="5"/>
      <c r="H45" s="13" t="s">
        <v>5</v>
      </c>
      <c r="I45" s="199">
        <f>SUM(I42:I44)</f>
        <v>149.29</v>
      </c>
      <c r="J45" s="5" t="s">
        <v>155</v>
      </c>
      <c r="K45" s="5"/>
      <c r="L45" s="5"/>
      <c r="M45" s="5"/>
    </row>
    <row r="46" spans="1:13" ht="19.5" customHeight="1" x14ac:dyDescent="0.3">
      <c r="A46" s="5"/>
      <c r="B46" s="5"/>
      <c r="C46" s="5"/>
      <c r="D46" s="5"/>
      <c r="E46" s="5" t="s">
        <v>9</v>
      </c>
      <c r="F46" s="5"/>
      <c r="G46" s="5"/>
      <c r="H46" s="13" t="s">
        <v>5</v>
      </c>
      <c r="I46" s="199">
        <f>I45*1.6</f>
        <v>238.864</v>
      </c>
      <c r="J46" s="5" t="s">
        <v>8</v>
      </c>
      <c r="K46" s="5"/>
      <c r="L46" s="5"/>
      <c r="M46" s="5"/>
    </row>
    <row r="47" spans="1:13" ht="19.5" customHeight="1" x14ac:dyDescent="0.3">
      <c r="A47" s="5" t="s">
        <v>158</v>
      </c>
      <c r="B47" s="5"/>
      <c r="C47" s="5"/>
      <c r="D47" s="5"/>
      <c r="E47" s="5"/>
      <c r="F47" s="5"/>
      <c r="G47" s="5"/>
      <c r="H47" s="13" t="s">
        <v>5</v>
      </c>
      <c r="I47" s="215">
        <v>48.09</v>
      </c>
      <c r="J47" s="5" t="s">
        <v>8</v>
      </c>
      <c r="K47" s="5"/>
      <c r="L47" s="5"/>
      <c r="M47" s="5"/>
    </row>
    <row r="48" spans="1:13" ht="19.5" customHeight="1" x14ac:dyDescent="0.3">
      <c r="A48" s="5" t="s">
        <v>109</v>
      </c>
      <c r="B48" s="5"/>
      <c r="C48" s="5"/>
      <c r="D48" s="5"/>
      <c r="E48" s="5"/>
      <c r="F48" s="5"/>
      <c r="G48" s="5"/>
      <c r="H48" s="13" t="s">
        <v>5</v>
      </c>
      <c r="I48" s="199">
        <f>SUM(I46:I47)</f>
        <v>286.95400000000001</v>
      </c>
      <c r="J48" s="5" t="s">
        <v>8</v>
      </c>
      <c r="K48" s="5"/>
      <c r="L48" s="5"/>
      <c r="M48" s="5"/>
    </row>
    <row r="49" spans="1:13" ht="19.5" customHeight="1" thickBot="1" x14ac:dyDescent="0.35">
      <c r="A49" s="5" t="s">
        <v>159</v>
      </c>
      <c r="B49" s="5"/>
      <c r="C49" s="5"/>
      <c r="D49" s="5"/>
      <c r="E49" s="5"/>
      <c r="F49" s="5"/>
      <c r="G49" s="5"/>
      <c r="H49" s="13" t="s">
        <v>5</v>
      </c>
      <c r="I49" s="216">
        <f>FLOOR(I48,0.1)</f>
        <v>286.90000000000003</v>
      </c>
      <c r="J49" s="5" t="s">
        <v>8</v>
      </c>
      <c r="K49" s="5"/>
      <c r="L49" s="5"/>
      <c r="M49" s="5"/>
    </row>
    <row r="50" spans="1:13" ht="19.5" customHeight="1" thickTop="1" x14ac:dyDescent="0.3">
      <c r="A50" s="5"/>
      <c r="B50" s="5"/>
      <c r="C50" s="5"/>
      <c r="D50" s="5"/>
      <c r="E50" s="5"/>
      <c r="F50" s="5"/>
      <c r="G50" s="5"/>
      <c r="H50" s="13"/>
      <c r="I50" s="199"/>
      <c r="J50" s="5"/>
      <c r="K50" s="5"/>
      <c r="L50" s="5"/>
      <c r="M50" s="5"/>
    </row>
    <row r="51" spans="1:13" ht="19.5" customHeight="1" x14ac:dyDescent="0.3">
      <c r="A51" s="8" t="s">
        <v>217</v>
      </c>
      <c r="B51" s="5"/>
      <c r="C51" s="5"/>
      <c r="D51" s="5"/>
      <c r="E51" s="5"/>
      <c r="F51" s="5"/>
      <c r="G51" s="5"/>
      <c r="H51" s="13"/>
      <c r="I51" s="4"/>
      <c r="J51" s="5"/>
      <c r="K51" s="5"/>
      <c r="L51" s="5"/>
      <c r="M51" s="5"/>
    </row>
    <row r="52" spans="1:13" ht="19.5" customHeight="1" x14ac:dyDescent="0.3">
      <c r="A52" s="5" t="s">
        <v>160</v>
      </c>
      <c r="B52" s="5"/>
      <c r="C52" s="5"/>
      <c r="D52" s="5"/>
      <c r="E52" s="5"/>
      <c r="F52" s="217">
        <v>642.53</v>
      </c>
      <c r="G52" s="217">
        <v>355.14</v>
      </c>
      <c r="H52" s="13" t="s">
        <v>5</v>
      </c>
      <c r="I52" s="218">
        <f>(F52+G52)/2</f>
        <v>498.83499999999998</v>
      </c>
      <c r="J52" s="5" t="s">
        <v>7</v>
      </c>
      <c r="K52" s="5"/>
      <c r="L52" s="5"/>
      <c r="M52" s="5"/>
    </row>
    <row r="53" spans="1:13" ht="19.5" customHeight="1" x14ac:dyDescent="0.3">
      <c r="A53" s="5" t="s">
        <v>161</v>
      </c>
      <c r="B53" s="5"/>
      <c r="C53" s="5"/>
      <c r="D53" s="5"/>
      <c r="E53" s="5"/>
      <c r="F53" s="5"/>
      <c r="G53" s="5"/>
      <c r="H53" s="13" t="s">
        <v>5</v>
      </c>
      <c r="I53" s="218">
        <v>0</v>
      </c>
      <c r="J53" s="5" t="s">
        <v>7</v>
      </c>
      <c r="K53" s="5"/>
      <c r="L53" s="5"/>
      <c r="M53" s="5"/>
    </row>
    <row r="54" spans="1:13" ht="19.5" customHeight="1" x14ac:dyDescent="0.3">
      <c r="A54" s="5" t="s">
        <v>202</v>
      </c>
      <c r="B54" s="5"/>
      <c r="C54" s="5"/>
      <c r="D54" s="5"/>
      <c r="E54" s="5"/>
      <c r="F54" s="5"/>
      <c r="G54" s="5"/>
      <c r="H54" s="13" t="s">
        <v>5</v>
      </c>
      <c r="I54" s="218">
        <v>0</v>
      </c>
      <c r="J54" s="5" t="s">
        <v>7</v>
      </c>
      <c r="K54" s="5"/>
      <c r="L54" s="5"/>
      <c r="M54" s="5"/>
    </row>
    <row r="55" spans="1:13" ht="19.5" customHeight="1" x14ac:dyDescent="0.3">
      <c r="A55" s="5" t="s">
        <v>157</v>
      </c>
      <c r="B55" s="5"/>
      <c r="C55" s="5"/>
      <c r="D55" s="5"/>
      <c r="E55" s="5"/>
      <c r="F55" s="5"/>
      <c r="G55" s="5"/>
      <c r="H55" s="13" t="s">
        <v>5</v>
      </c>
      <c r="I55" s="2">
        <f>SUM(I52:I54)</f>
        <v>498.83499999999998</v>
      </c>
      <c r="J55" s="5" t="s">
        <v>7</v>
      </c>
      <c r="K55" s="5"/>
      <c r="L55" s="5"/>
      <c r="M55" s="5"/>
    </row>
    <row r="56" spans="1:13" ht="19.5" customHeight="1" x14ac:dyDescent="0.3">
      <c r="A56" s="5"/>
      <c r="B56" s="5"/>
      <c r="C56" s="5"/>
      <c r="D56" s="5"/>
      <c r="E56" s="5" t="s">
        <v>162</v>
      </c>
      <c r="F56" s="5"/>
      <c r="G56" s="5"/>
      <c r="H56" s="13" t="s">
        <v>5</v>
      </c>
      <c r="I56" s="2">
        <f>I55*1.4</f>
        <v>698.36899999999991</v>
      </c>
      <c r="J56" s="5" t="s">
        <v>7</v>
      </c>
      <c r="K56" s="5"/>
      <c r="L56" s="5"/>
      <c r="M56" s="5"/>
    </row>
    <row r="57" spans="1:13" ht="19.5" customHeight="1" x14ac:dyDescent="0.3">
      <c r="A57" s="5" t="s">
        <v>163</v>
      </c>
      <c r="B57" s="5"/>
      <c r="C57" s="5"/>
      <c r="D57" s="5"/>
      <c r="E57" s="5"/>
      <c r="F57" s="5"/>
      <c r="G57" s="219">
        <v>40.08</v>
      </c>
      <c r="H57" s="13" t="s">
        <v>5</v>
      </c>
      <c r="I57" s="218">
        <f>G57*75%</f>
        <v>30.06</v>
      </c>
      <c r="J57" s="5" t="s">
        <v>8</v>
      </c>
      <c r="K57" s="5"/>
      <c r="L57" s="5"/>
      <c r="M57" s="5"/>
    </row>
    <row r="58" spans="1:13" ht="19.5" customHeight="1" x14ac:dyDescent="0.3">
      <c r="A58" s="5" t="s">
        <v>109</v>
      </c>
      <c r="B58" s="5"/>
      <c r="C58" s="5"/>
      <c r="D58" s="5"/>
      <c r="E58" s="5"/>
      <c r="F58" s="5"/>
      <c r="G58" s="5"/>
      <c r="H58" s="13" t="s">
        <v>5</v>
      </c>
      <c r="I58" s="2">
        <f>SUM(I56:I57)</f>
        <v>728.42899999999986</v>
      </c>
      <c r="J58" s="5" t="s">
        <v>8</v>
      </c>
      <c r="K58" s="5"/>
      <c r="L58" s="5"/>
      <c r="M58" s="5"/>
    </row>
    <row r="59" spans="1:13" ht="19.5" customHeight="1" thickBot="1" x14ac:dyDescent="0.35">
      <c r="A59" s="5" t="s">
        <v>110</v>
      </c>
      <c r="B59" s="5"/>
      <c r="C59" s="5"/>
      <c r="D59" s="5"/>
      <c r="E59" s="5"/>
      <c r="F59" s="5"/>
      <c r="G59" s="5"/>
      <c r="H59" s="13" t="s">
        <v>5</v>
      </c>
      <c r="I59" s="261">
        <f>FLOOR(I58,0.1)</f>
        <v>728.40000000000009</v>
      </c>
      <c r="J59" s="5" t="s">
        <v>8</v>
      </c>
      <c r="K59" s="5"/>
      <c r="L59" s="5"/>
      <c r="M59" s="5"/>
    </row>
    <row r="60" spans="1:13" ht="19.5" customHeight="1" thickTop="1" x14ac:dyDescent="0.3">
      <c r="A60" s="5"/>
      <c r="B60" s="5"/>
      <c r="C60" s="5"/>
      <c r="D60" s="5"/>
      <c r="E60" s="5"/>
      <c r="F60" s="5"/>
      <c r="G60" s="5"/>
      <c r="H60" s="13"/>
      <c r="I60" s="4"/>
      <c r="J60" s="5"/>
      <c r="K60" s="5"/>
      <c r="L60" s="5"/>
      <c r="M60" s="5"/>
    </row>
    <row r="61" spans="1:13" ht="19.5" customHeight="1" x14ac:dyDescent="0.3">
      <c r="A61" s="8" t="s">
        <v>218</v>
      </c>
      <c r="B61" s="5"/>
      <c r="C61" s="5"/>
      <c r="D61" s="5"/>
      <c r="E61" s="5"/>
      <c r="F61" s="5"/>
      <c r="G61" s="5"/>
      <c r="H61" s="13"/>
      <c r="I61" s="4"/>
      <c r="J61" s="5"/>
      <c r="K61" s="5"/>
      <c r="L61" s="5"/>
      <c r="M61" s="5"/>
    </row>
    <row r="62" spans="1:13" ht="19.5" customHeight="1" x14ac:dyDescent="0.3">
      <c r="A62" s="220" t="s">
        <v>164</v>
      </c>
      <c r="B62" s="5"/>
      <c r="C62" s="5"/>
      <c r="D62" s="5"/>
      <c r="E62" s="5"/>
      <c r="F62" s="5"/>
      <c r="G62" s="5"/>
      <c r="H62" s="13"/>
      <c r="I62" s="4"/>
      <c r="J62" s="5"/>
      <c r="K62" s="5"/>
      <c r="L62" s="5"/>
      <c r="M62" s="5"/>
    </row>
    <row r="63" spans="1:13" ht="19.5" customHeight="1" x14ac:dyDescent="0.3">
      <c r="A63" s="221" t="s">
        <v>165</v>
      </c>
      <c r="B63" s="5"/>
      <c r="C63" s="5"/>
      <c r="D63" s="5"/>
      <c r="E63" s="5"/>
      <c r="F63" s="5"/>
      <c r="G63" s="5"/>
      <c r="H63" s="13"/>
      <c r="I63" s="222">
        <v>207.9</v>
      </c>
      <c r="J63" s="13" t="s">
        <v>3</v>
      </c>
      <c r="K63" s="5"/>
      <c r="L63" s="5"/>
      <c r="M63" s="5"/>
    </row>
    <row r="64" spans="1:13" ht="19.5" customHeight="1" x14ac:dyDescent="0.3">
      <c r="A64" s="221" t="s">
        <v>166</v>
      </c>
      <c r="B64" s="5"/>
      <c r="C64" s="5"/>
      <c r="D64" s="5"/>
      <c r="E64" s="223">
        <v>5000</v>
      </c>
      <c r="F64" s="14" t="s">
        <v>3</v>
      </c>
      <c r="G64" s="223"/>
      <c r="H64" s="13" t="s">
        <v>5</v>
      </c>
      <c r="I64" s="2">
        <f>150000/E64</f>
        <v>30</v>
      </c>
      <c r="J64" s="5" t="s">
        <v>167</v>
      </c>
      <c r="K64" s="5"/>
      <c r="L64" s="5"/>
      <c r="M64" s="5"/>
    </row>
    <row r="65" spans="1:13" ht="19.5" customHeight="1" x14ac:dyDescent="0.3">
      <c r="A65" s="221" t="s">
        <v>168</v>
      </c>
      <c r="B65" s="5"/>
      <c r="C65" s="5"/>
      <c r="D65" s="5"/>
      <c r="E65" s="5"/>
      <c r="F65" s="5"/>
      <c r="G65" s="5"/>
      <c r="H65" s="13"/>
      <c r="I65" s="2"/>
      <c r="J65" s="5"/>
      <c r="K65" s="5"/>
      <c r="L65" s="5"/>
      <c r="M65" s="5"/>
    </row>
    <row r="66" spans="1:13" ht="19.5" customHeight="1" x14ac:dyDescent="0.3">
      <c r="A66" s="221" t="s">
        <v>169</v>
      </c>
      <c r="B66" s="5"/>
      <c r="C66" s="5"/>
      <c r="D66" s="2"/>
      <c r="E66" s="224">
        <f>I137</f>
        <v>1763</v>
      </c>
      <c r="F66" s="14" t="s">
        <v>170</v>
      </c>
      <c r="G66" s="222">
        <f>I64</f>
        <v>30</v>
      </c>
      <c r="H66" s="13" t="s">
        <v>5</v>
      </c>
      <c r="I66" s="2">
        <f>E66+G66</f>
        <v>1793</v>
      </c>
      <c r="J66" s="5" t="s">
        <v>80</v>
      </c>
      <c r="K66" s="5"/>
      <c r="L66" s="5"/>
      <c r="M66" s="5"/>
    </row>
    <row r="67" spans="1:13" ht="19.5" customHeight="1" x14ac:dyDescent="0.3">
      <c r="A67" s="220" t="s">
        <v>171</v>
      </c>
      <c r="B67" s="5"/>
      <c r="C67" s="225">
        <v>50</v>
      </c>
      <c r="D67" s="11" t="s">
        <v>20</v>
      </c>
      <c r="E67" s="13" t="s">
        <v>172</v>
      </c>
      <c r="F67" s="226">
        <v>0.15</v>
      </c>
      <c r="G67" s="5" t="s">
        <v>56</v>
      </c>
      <c r="H67" s="13" t="s">
        <v>5</v>
      </c>
      <c r="I67" s="2">
        <f>C67*F67</f>
        <v>7.5</v>
      </c>
      <c r="J67" s="5" t="s">
        <v>3</v>
      </c>
      <c r="K67" s="5"/>
      <c r="L67" s="5"/>
      <c r="M67" s="5"/>
    </row>
    <row r="68" spans="1:13" ht="19.5" customHeight="1" x14ac:dyDescent="0.3">
      <c r="A68" s="221" t="s">
        <v>335</v>
      </c>
      <c r="B68" s="5"/>
      <c r="C68" s="5"/>
      <c r="D68" s="5"/>
      <c r="E68" s="5"/>
      <c r="F68" s="5"/>
      <c r="G68" s="5"/>
      <c r="H68" s="13" t="s">
        <v>5</v>
      </c>
      <c r="I68" s="2">
        <f>I66*7.5</f>
        <v>13447.5</v>
      </c>
      <c r="J68" s="5" t="s">
        <v>111</v>
      </c>
      <c r="K68" s="5"/>
      <c r="L68" s="5"/>
      <c r="M68" s="5"/>
    </row>
    <row r="69" spans="1:13" ht="19.5" customHeight="1" x14ac:dyDescent="0.3">
      <c r="A69" s="221" t="s">
        <v>334</v>
      </c>
      <c r="B69" s="5"/>
      <c r="C69" s="5"/>
      <c r="D69" s="5"/>
      <c r="E69" s="227">
        <v>10.73</v>
      </c>
      <c r="F69" s="13" t="s">
        <v>173</v>
      </c>
      <c r="G69" s="5"/>
      <c r="H69" s="13" t="s">
        <v>5</v>
      </c>
      <c r="I69" s="2">
        <f>I67*E69</f>
        <v>80.475000000000009</v>
      </c>
      <c r="J69" s="5" t="s">
        <v>111</v>
      </c>
      <c r="K69" s="5"/>
      <c r="L69" s="5"/>
      <c r="M69" s="5"/>
    </row>
    <row r="70" spans="1:13" ht="19.5" customHeight="1" x14ac:dyDescent="0.3">
      <c r="A70" s="221" t="s">
        <v>174</v>
      </c>
      <c r="B70" s="5"/>
      <c r="C70" s="5"/>
      <c r="D70" s="5"/>
      <c r="E70" s="225">
        <v>22.43</v>
      </c>
      <c r="F70" s="13" t="s">
        <v>13</v>
      </c>
      <c r="G70" s="5"/>
      <c r="H70" s="13" t="s">
        <v>5</v>
      </c>
      <c r="I70" s="2">
        <f>C67*E70</f>
        <v>1121.5</v>
      </c>
      <c r="J70" s="5" t="s">
        <v>111</v>
      </c>
      <c r="K70" s="5"/>
      <c r="L70" s="5"/>
      <c r="M70" s="5"/>
    </row>
    <row r="71" spans="1:13" ht="19.5" customHeight="1" x14ac:dyDescent="0.3">
      <c r="A71" s="221" t="s">
        <v>175</v>
      </c>
      <c r="B71" s="5"/>
      <c r="C71" s="5"/>
      <c r="D71" s="5"/>
      <c r="E71" s="225">
        <v>5</v>
      </c>
      <c r="F71" s="13" t="s">
        <v>13</v>
      </c>
      <c r="G71" s="5"/>
      <c r="H71" s="13" t="s">
        <v>5</v>
      </c>
      <c r="I71" s="2">
        <f>C67*E71</f>
        <v>250</v>
      </c>
      <c r="J71" s="5" t="s">
        <v>111</v>
      </c>
      <c r="K71" s="5"/>
      <c r="L71" s="5"/>
      <c r="M71" s="5"/>
    </row>
    <row r="72" spans="1:13" ht="19.5" customHeight="1" x14ac:dyDescent="0.3">
      <c r="A72" s="221" t="s">
        <v>176</v>
      </c>
      <c r="B72" s="5"/>
      <c r="C72" s="5"/>
      <c r="D72" s="226">
        <v>20.6</v>
      </c>
      <c r="E72" s="5"/>
      <c r="F72" s="5"/>
      <c r="G72" s="5"/>
      <c r="H72" s="13" t="s">
        <v>5</v>
      </c>
      <c r="I72" s="2">
        <f>2*10*D72</f>
        <v>412</v>
      </c>
      <c r="J72" s="5" t="s">
        <v>111</v>
      </c>
      <c r="K72" s="5"/>
      <c r="L72" s="5"/>
      <c r="M72" s="5"/>
    </row>
    <row r="73" spans="1:13" ht="19.5" customHeight="1" x14ac:dyDescent="0.3">
      <c r="A73" s="221" t="s">
        <v>177</v>
      </c>
      <c r="B73" s="5"/>
      <c r="C73" s="5"/>
      <c r="D73" s="226">
        <v>11.5</v>
      </c>
      <c r="E73" s="5"/>
      <c r="F73" s="5"/>
      <c r="G73" s="5"/>
      <c r="H73" s="13" t="s">
        <v>5</v>
      </c>
      <c r="I73" s="2">
        <f>C67*D73</f>
        <v>575</v>
      </c>
      <c r="J73" s="5" t="s">
        <v>111</v>
      </c>
      <c r="K73" s="5"/>
      <c r="L73" s="5"/>
      <c r="M73" s="5"/>
    </row>
    <row r="74" spans="1:13" ht="19.5" customHeight="1" x14ac:dyDescent="0.3">
      <c r="A74" s="221" t="s">
        <v>178</v>
      </c>
      <c r="B74" s="5"/>
      <c r="C74" s="5"/>
      <c r="D74" s="226">
        <v>7.52</v>
      </c>
      <c r="E74" s="5"/>
      <c r="F74" s="5"/>
      <c r="G74" s="5"/>
      <c r="H74" s="13" t="s">
        <v>5</v>
      </c>
      <c r="I74" s="2">
        <f>C67*D74</f>
        <v>376</v>
      </c>
      <c r="J74" s="5" t="s">
        <v>111</v>
      </c>
      <c r="K74" s="5"/>
      <c r="L74" s="5"/>
      <c r="M74" s="5"/>
    </row>
    <row r="75" spans="1:13" ht="19.5" customHeight="1" x14ac:dyDescent="0.3">
      <c r="A75" s="221" t="s">
        <v>179</v>
      </c>
      <c r="B75" s="5"/>
      <c r="C75" s="5"/>
      <c r="D75" s="4"/>
      <c r="E75" s="226">
        <v>30</v>
      </c>
      <c r="F75" s="5"/>
      <c r="G75" s="5"/>
      <c r="H75" s="13" t="s">
        <v>5</v>
      </c>
      <c r="I75" s="2">
        <f>C67*E75</f>
        <v>1500</v>
      </c>
      <c r="J75" s="5" t="s">
        <v>111</v>
      </c>
      <c r="K75" s="5"/>
      <c r="L75" s="5"/>
      <c r="M75" s="5"/>
    </row>
    <row r="76" spans="1:13" ht="19.5" customHeight="1" x14ac:dyDescent="0.3">
      <c r="A76" s="5" t="s">
        <v>109</v>
      </c>
      <c r="B76" s="5"/>
      <c r="C76" s="5"/>
      <c r="D76" s="5"/>
      <c r="E76" s="5"/>
      <c r="F76" s="5"/>
      <c r="G76" s="5"/>
      <c r="H76" s="13" t="s">
        <v>5</v>
      </c>
      <c r="I76" s="2">
        <f>SUM(I68:I75)</f>
        <v>17762.474999999999</v>
      </c>
      <c r="J76" s="5" t="s">
        <v>111</v>
      </c>
      <c r="K76" s="5"/>
      <c r="L76" s="5"/>
      <c r="M76" s="5"/>
    </row>
    <row r="77" spans="1:13" ht="19.5" customHeight="1" thickBot="1" x14ac:dyDescent="0.35">
      <c r="A77" s="5" t="s">
        <v>180</v>
      </c>
      <c r="B77" s="5"/>
      <c r="C77" s="5"/>
      <c r="D77" s="5"/>
      <c r="E77" s="5"/>
      <c r="F77" s="5"/>
      <c r="G77" s="5"/>
      <c r="H77" s="13" t="s">
        <v>5</v>
      </c>
      <c r="I77" s="262">
        <f>I76/50</f>
        <v>355.24949999999995</v>
      </c>
      <c r="J77" s="5" t="s">
        <v>21</v>
      </c>
      <c r="K77" s="5"/>
      <c r="L77" s="5"/>
      <c r="M77" s="5"/>
    </row>
    <row r="78" spans="1:13" ht="19.5" customHeight="1" thickTop="1" thickBot="1" x14ac:dyDescent="0.35">
      <c r="A78" s="5" t="s">
        <v>181</v>
      </c>
      <c r="B78" s="5"/>
      <c r="C78" s="5"/>
      <c r="D78" s="5"/>
      <c r="E78" s="5"/>
      <c r="F78" s="5"/>
      <c r="G78" s="5"/>
      <c r="H78" s="13" t="s">
        <v>5</v>
      </c>
      <c r="I78" s="261">
        <f>FLOOR(I77,0.1)</f>
        <v>355.20000000000005</v>
      </c>
      <c r="J78" s="5" t="s">
        <v>21</v>
      </c>
      <c r="K78" s="5"/>
      <c r="L78" s="5"/>
      <c r="M78" s="5"/>
    </row>
    <row r="79" spans="1:13" ht="19.5" customHeight="1" thickTop="1" x14ac:dyDescent="0.3">
      <c r="A79" s="5"/>
      <c r="B79" s="5"/>
      <c r="C79" s="5"/>
      <c r="D79" s="5"/>
      <c r="E79" s="5"/>
      <c r="F79" s="5"/>
      <c r="G79" s="5"/>
      <c r="H79" s="13"/>
      <c r="I79" s="4"/>
      <c r="J79" s="5"/>
      <c r="K79" s="5"/>
      <c r="L79" s="5"/>
      <c r="M79" s="5"/>
    </row>
    <row r="80" spans="1:13" ht="19.5" customHeight="1" x14ac:dyDescent="0.3">
      <c r="A80" s="5"/>
      <c r="B80" s="5"/>
      <c r="C80" s="5"/>
      <c r="D80" s="5"/>
      <c r="E80" s="5"/>
      <c r="F80" s="5"/>
      <c r="G80" s="5"/>
      <c r="H80" s="13"/>
      <c r="I80" s="4"/>
      <c r="J80" s="5"/>
      <c r="K80" s="5"/>
      <c r="L80" s="5"/>
      <c r="M80" s="5"/>
    </row>
    <row r="81" spans="1:13" ht="19.5" customHeight="1" x14ac:dyDescent="0.3">
      <c r="A81" s="220" t="s">
        <v>219</v>
      </c>
      <c r="B81" s="5"/>
      <c r="C81" s="5"/>
      <c r="D81" s="5"/>
      <c r="E81" s="5"/>
      <c r="F81" s="5"/>
      <c r="G81" s="5"/>
      <c r="H81" s="13"/>
      <c r="I81" s="4"/>
      <c r="J81" s="5"/>
      <c r="K81" s="5"/>
      <c r="L81" s="5"/>
      <c r="M81" s="5"/>
    </row>
    <row r="82" spans="1:13" ht="19.5" customHeight="1" x14ac:dyDescent="0.3">
      <c r="A82" s="221" t="s">
        <v>182</v>
      </c>
      <c r="B82" s="5"/>
      <c r="C82" s="5"/>
      <c r="D82" s="5"/>
      <c r="E82" s="5"/>
      <c r="F82" s="5"/>
      <c r="G82" s="5"/>
      <c r="H82" s="13"/>
      <c r="I82" s="222"/>
      <c r="J82" s="5"/>
      <c r="K82" s="5"/>
      <c r="L82" s="5"/>
      <c r="M82" s="5"/>
    </row>
    <row r="83" spans="1:13" ht="19.5" customHeight="1" x14ac:dyDescent="0.3">
      <c r="A83" s="5" t="s">
        <v>183</v>
      </c>
      <c r="B83" s="5" t="s">
        <v>184</v>
      </c>
      <c r="C83" s="5"/>
      <c r="D83" s="5"/>
      <c r="E83" s="206">
        <v>21.75</v>
      </c>
      <c r="F83" s="13" t="s">
        <v>13</v>
      </c>
      <c r="G83" s="5"/>
      <c r="H83" s="13" t="s">
        <v>5</v>
      </c>
      <c r="I83" s="2">
        <f>35.68*E83</f>
        <v>776.04</v>
      </c>
      <c r="J83" s="5" t="s">
        <v>111</v>
      </c>
      <c r="K83" s="5"/>
      <c r="L83" s="5"/>
      <c r="M83" s="5"/>
    </row>
    <row r="84" spans="1:13" ht="19.5" customHeight="1" x14ac:dyDescent="0.3">
      <c r="A84" s="5" t="s">
        <v>185</v>
      </c>
      <c r="B84" s="5"/>
      <c r="C84" s="5"/>
      <c r="D84" s="5"/>
      <c r="E84" s="206">
        <v>10</v>
      </c>
      <c r="F84" s="13" t="s">
        <v>13</v>
      </c>
      <c r="G84" s="5"/>
      <c r="H84" s="13" t="s">
        <v>5</v>
      </c>
      <c r="I84" s="2">
        <f>32*E84</f>
        <v>320</v>
      </c>
      <c r="J84" s="5" t="s">
        <v>111</v>
      </c>
      <c r="K84" s="5"/>
      <c r="L84" s="5"/>
      <c r="M84" s="5"/>
    </row>
    <row r="85" spans="1:13" ht="19.5" customHeight="1" x14ac:dyDescent="0.3">
      <c r="A85" s="5" t="s">
        <v>186</v>
      </c>
      <c r="B85" s="5"/>
      <c r="C85" s="5"/>
      <c r="D85" s="5"/>
      <c r="E85" s="206">
        <v>400</v>
      </c>
      <c r="F85" s="13" t="s">
        <v>13</v>
      </c>
      <c r="G85" s="5"/>
      <c r="H85" s="13" t="s">
        <v>5</v>
      </c>
      <c r="I85" s="2">
        <f>E85*1</f>
        <v>400</v>
      </c>
      <c r="J85" s="5" t="s">
        <v>111</v>
      </c>
      <c r="K85" s="5"/>
      <c r="L85" s="5"/>
      <c r="M85" s="5"/>
    </row>
    <row r="86" spans="1:13" ht="19.5" customHeight="1" x14ac:dyDescent="0.3">
      <c r="A86" s="5" t="s">
        <v>187</v>
      </c>
      <c r="B86" s="5"/>
      <c r="C86" s="5"/>
      <c r="D86" s="5"/>
      <c r="E86" s="206">
        <v>45</v>
      </c>
      <c r="F86" s="13" t="s">
        <v>13</v>
      </c>
      <c r="G86" s="5"/>
      <c r="H86" s="13" t="s">
        <v>5</v>
      </c>
      <c r="I86" s="2">
        <f>6.24*E86</f>
        <v>280.8</v>
      </c>
      <c r="J86" s="5" t="s">
        <v>111</v>
      </c>
      <c r="K86" s="5"/>
      <c r="L86" s="5"/>
      <c r="M86" s="5"/>
    </row>
    <row r="87" spans="1:13" ht="19.5" customHeight="1" x14ac:dyDescent="0.3">
      <c r="A87" s="5" t="s">
        <v>188</v>
      </c>
      <c r="B87" s="5"/>
      <c r="C87" s="5"/>
      <c r="D87" s="5"/>
      <c r="E87" s="206">
        <v>11.63</v>
      </c>
      <c r="F87" s="13" t="s">
        <v>13</v>
      </c>
      <c r="G87" s="5"/>
      <c r="H87" s="13" t="s">
        <v>5</v>
      </c>
      <c r="I87" s="2">
        <f>10*E87</f>
        <v>116.30000000000001</v>
      </c>
      <c r="J87" s="5" t="s">
        <v>111</v>
      </c>
      <c r="K87" s="5"/>
      <c r="L87" s="5"/>
      <c r="M87" s="5"/>
    </row>
    <row r="88" spans="1:13" ht="19.5" customHeight="1" x14ac:dyDescent="0.3">
      <c r="A88" s="5" t="s">
        <v>189</v>
      </c>
      <c r="B88" s="5"/>
      <c r="C88" s="5"/>
      <c r="D88" s="5"/>
      <c r="E88" s="206">
        <v>10</v>
      </c>
      <c r="F88" s="13" t="s">
        <v>13</v>
      </c>
      <c r="G88" s="5"/>
      <c r="H88" s="13" t="s">
        <v>5</v>
      </c>
      <c r="I88" s="2">
        <f>10*E88</f>
        <v>100</v>
      </c>
      <c r="J88" s="5" t="s">
        <v>111</v>
      </c>
      <c r="K88" s="5"/>
      <c r="L88" s="5"/>
      <c r="M88" s="5"/>
    </row>
    <row r="89" spans="1:13" ht="19.5" customHeight="1" x14ac:dyDescent="0.3">
      <c r="A89" s="5" t="s">
        <v>190</v>
      </c>
      <c r="B89" s="5"/>
      <c r="C89" s="5"/>
      <c r="D89" s="5"/>
      <c r="E89" s="206">
        <v>115</v>
      </c>
      <c r="F89" s="13" t="s">
        <v>13</v>
      </c>
      <c r="G89" s="5"/>
      <c r="H89" s="13" t="s">
        <v>191</v>
      </c>
      <c r="I89" s="2">
        <f>0.75*E89</f>
        <v>86.25</v>
      </c>
      <c r="J89" s="5" t="s">
        <v>111</v>
      </c>
      <c r="K89" s="5"/>
      <c r="L89" s="5"/>
      <c r="M89" s="5"/>
    </row>
    <row r="90" spans="1:13" ht="19.5" customHeight="1" x14ac:dyDescent="0.3">
      <c r="A90" s="5" t="s">
        <v>192</v>
      </c>
      <c r="B90" s="5"/>
      <c r="C90" s="5"/>
      <c r="D90" s="5"/>
      <c r="E90" s="5"/>
      <c r="F90" s="5"/>
      <c r="G90" s="5"/>
      <c r="H90" s="13" t="s">
        <v>191</v>
      </c>
      <c r="I90" s="2">
        <f>SUM(I83:I89)</f>
        <v>2079.39</v>
      </c>
      <c r="J90" s="5" t="s">
        <v>111</v>
      </c>
      <c r="K90" s="5"/>
      <c r="L90" s="5"/>
      <c r="M90" s="5"/>
    </row>
    <row r="91" spans="1:13" ht="19.5" customHeight="1" thickBot="1" x14ac:dyDescent="0.35">
      <c r="A91" s="5" t="s">
        <v>110</v>
      </c>
      <c r="B91" s="5"/>
      <c r="C91" s="13">
        <v>1</v>
      </c>
      <c r="D91" s="5" t="s">
        <v>56</v>
      </c>
      <c r="E91" s="5"/>
      <c r="F91" s="5"/>
      <c r="G91" s="5"/>
      <c r="H91" s="13" t="s">
        <v>5</v>
      </c>
      <c r="I91" s="261">
        <f>I90/10</f>
        <v>207.93899999999999</v>
      </c>
      <c r="J91" s="5" t="s">
        <v>139</v>
      </c>
      <c r="K91" s="5"/>
      <c r="L91" s="5"/>
      <c r="M91" s="5"/>
    </row>
    <row r="92" spans="1:13" ht="19.5" customHeight="1" thickTop="1" thickBot="1" x14ac:dyDescent="0.35">
      <c r="A92" s="5" t="s">
        <v>181</v>
      </c>
      <c r="B92" s="5"/>
      <c r="C92" s="5"/>
      <c r="D92" s="5"/>
      <c r="E92" s="5"/>
      <c r="F92" s="5"/>
      <c r="G92" s="5"/>
      <c r="H92" s="13" t="s">
        <v>5</v>
      </c>
      <c r="I92" s="261">
        <f>FLOOR(I91,0.1)</f>
        <v>207.9</v>
      </c>
      <c r="J92" s="5" t="s">
        <v>139</v>
      </c>
      <c r="K92" s="5"/>
      <c r="L92" s="5"/>
      <c r="M92" s="5"/>
    </row>
    <row r="93" spans="1:13" ht="19.5" customHeight="1" thickTop="1" x14ac:dyDescent="0.3">
      <c r="A93" s="5"/>
      <c r="B93" s="5"/>
      <c r="C93" s="5"/>
      <c r="D93" s="5"/>
      <c r="E93" s="5"/>
      <c r="F93" s="5"/>
      <c r="G93" s="5"/>
      <c r="H93" s="13"/>
      <c r="I93" s="2"/>
      <c r="J93" s="5"/>
      <c r="K93" s="5"/>
      <c r="L93" s="5"/>
      <c r="M93" s="5"/>
    </row>
    <row r="94" spans="1:13" ht="19.5" customHeight="1" x14ac:dyDescent="0.3">
      <c r="A94" s="220" t="s">
        <v>220</v>
      </c>
      <c r="B94" s="5"/>
      <c r="C94" s="5"/>
      <c r="D94" s="5"/>
      <c r="E94" s="5"/>
      <c r="F94" s="5"/>
      <c r="G94" s="5"/>
      <c r="H94" s="13"/>
      <c r="I94" s="2"/>
      <c r="J94" s="5"/>
      <c r="K94" s="5"/>
      <c r="L94" s="5"/>
      <c r="M94" s="5"/>
    </row>
    <row r="95" spans="1:13" ht="19.5" customHeight="1" x14ac:dyDescent="0.3">
      <c r="A95" s="221" t="s">
        <v>182</v>
      </c>
      <c r="B95" s="5"/>
      <c r="C95" s="5"/>
      <c r="D95" s="5"/>
      <c r="E95" s="5"/>
      <c r="F95" s="5"/>
      <c r="G95" s="5"/>
      <c r="H95" s="13"/>
      <c r="I95" s="2"/>
      <c r="J95" s="5"/>
      <c r="K95" s="5"/>
      <c r="L95" s="5"/>
      <c r="M95" s="5"/>
    </row>
    <row r="96" spans="1:13" ht="19.5" customHeight="1" x14ac:dyDescent="0.3">
      <c r="A96" s="10" t="s">
        <v>193</v>
      </c>
      <c r="B96" s="5" t="s">
        <v>184</v>
      </c>
      <c r="C96" s="5"/>
      <c r="D96" s="5"/>
      <c r="E96" s="206">
        <v>21.75</v>
      </c>
      <c r="F96" s="13" t="s">
        <v>13</v>
      </c>
      <c r="G96" s="5"/>
      <c r="H96" s="13" t="s">
        <v>5</v>
      </c>
      <c r="I96" s="2">
        <f>35.68*E96</f>
        <v>776.04</v>
      </c>
      <c r="J96" s="5" t="s">
        <v>111</v>
      </c>
      <c r="K96" s="5"/>
      <c r="L96" s="5"/>
      <c r="M96" s="5"/>
    </row>
    <row r="97" spans="1:13" ht="19.5" customHeight="1" x14ac:dyDescent="0.3">
      <c r="A97" s="5" t="s">
        <v>194</v>
      </c>
      <c r="B97" s="5"/>
      <c r="C97" s="5"/>
      <c r="D97" s="5"/>
      <c r="E97" s="206">
        <v>4</v>
      </c>
      <c r="F97" s="13" t="s">
        <v>13</v>
      </c>
      <c r="G97" s="5"/>
      <c r="H97" s="13" t="s">
        <v>5</v>
      </c>
      <c r="I97" s="2">
        <f>32*E97</f>
        <v>128</v>
      </c>
      <c r="J97" s="5" t="s">
        <v>111</v>
      </c>
      <c r="K97" s="5"/>
      <c r="L97" s="5"/>
      <c r="M97" s="5"/>
    </row>
    <row r="98" spans="1:13" ht="19.5" customHeight="1" x14ac:dyDescent="0.3">
      <c r="A98" s="5" t="s">
        <v>195</v>
      </c>
      <c r="B98" s="5"/>
      <c r="C98" s="5"/>
      <c r="D98" s="5"/>
      <c r="E98" s="206">
        <v>20.21</v>
      </c>
      <c r="F98" s="13" t="s">
        <v>13</v>
      </c>
      <c r="G98" s="5"/>
      <c r="H98" s="13" t="s">
        <v>5</v>
      </c>
      <c r="I98" s="2">
        <f>10*E98</f>
        <v>202.10000000000002</v>
      </c>
      <c r="J98" s="5" t="s">
        <v>111</v>
      </c>
      <c r="K98" s="5"/>
      <c r="L98" s="5"/>
      <c r="M98" s="5"/>
    </row>
    <row r="99" spans="1:13" ht="19.5" customHeight="1" x14ac:dyDescent="0.3">
      <c r="A99" s="5" t="s">
        <v>196</v>
      </c>
      <c r="B99" s="5"/>
      <c r="C99" s="5"/>
      <c r="D99" s="5"/>
      <c r="E99" s="206">
        <v>45</v>
      </c>
      <c r="F99" s="13" t="s">
        <v>13</v>
      </c>
      <c r="G99" s="5"/>
      <c r="H99" s="13" t="s">
        <v>5</v>
      </c>
      <c r="I99" s="2">
        <f>3.75*E99</f>
        <v>168.75</v>
      </c>
      <c r="J99" s="5" t="s">
        <v>111</v>
      </c>
      <c r="K99" s="5"/>
      <c r="L99" s="5"/>
      <c r="M99" s="5"/>
    </row>
    <row r="100" spans="1:13" ht="19.5" customHeight="1" x14ac:dyDescent="0.3">
      <c r="A100" s="5" t="s">
        <v>197</v>
      </c>
      <c r="B100" s="5"/>
      <c r="C100" s="5"/>
      <c r="D100" s="5"/>
      <c r="E100" s="206">
        <v>10</v>
      </c>
      <c r="F100" s="13" t="s">
        <v>13</v>
      </c>
      <c r="G100" s="5"/>
      <c r="H100" s="13" t="s">
        <v>5</v>
      </c>
      <c r="I100" s="2">
        <f>10*E100</f>
        <v>100</v>
      </c>
      <c r="J100" s="5" t="s">
        <v>111</v>
      </c>
      <c r="K100" s="5"/>
      <c r="L100" s="5"/>
      <c r="M100" s="5"/>
    </row>
    <row r="101" spans="1:13" ht="19.5" customHeight="1" x14ac:dyDescent="0.3">
      <c r="A101" s="5" t="s">
        <v>192</v>
      </c>
      <c r="B101" s="5"/>
      <c r="C101" s="5"/>
      <c r="D101" s="5"/>
      <c r="E101" s="5"/>
      <c r="F101" s="5"/>
      <c r="G101" s="5"/>
      <c r="H101" s="13" t="s">
        <v>191</v>
      </c>
      <c r="I101" s="2">
        <f>SUM(I96:I100)</f>
        <v>1374.8899999999999</v>
      </c>
      <c r="J101" s="5" t="s">
        <v>111</v>
      </c>
      <c r="K101" s="5"/>
      <c r="L101" s="5"/>
      <c r="M101" s="5"/>
    </row>
    <row r="102" spans="1:13" ht="19.5" customHeight="1" thickBot="1" x14ac:dyDescent="0.35">
      <c r="A102" s="5" t="s">
        <v>110</v>
      </c>
      <c r="B102" s="5"/>
      <c r="C102" s="13">
        <v>1</v>
      </c>
      <c r="D102" s="5" t="s">
        <v>56</v>
      </c>
      <c r="E102" s="5"/>
      <c r="F102" s="5"/>
      <c r="G102" s="5"/>
      <c r="H102" s="13" t="s">
        <v>5</v>
      </c>
      <c r="I102" s="262">
        <f>I101/10</f>
        <v>137.48899999999998</v>
      </c>
      <c r="J102" s="5" t="s">
        <v>139</v>
      </c>
      <c r="K102" s="5"/>
      <c r="L102" s="5"/>
      <c r="M102" s="5"/>
    </row>
    <row r="103" spans="1:13" ht="19.5" customHeight="1" thickTop="1" thickBot="1" x14ac:dyDescent="0.35">
      <c r="A103" s="5" t="s">
        <v>181</v>
      </c>
      <c r="B103" s="5"/>
      <c r="C103" s="5"/>
      <c r="D103" s="5"/>
      <c r="E103" s="5"/>
      <c r="F103" s="5"/>
      <c r="G103" s="5"/>
      <c r="H103" s="13" t="s">
        <v>5</v>
      </c>
      <c r="I103" s="261">
        <f>FLOOR(I102,0.1)</f>
        <v>137.4</v>
      </c>
      <c r="J103" s="5" t="s">
        <v>139</v>
      </c>
      <c r="K103" s="5"/>
      <c r="L103" s="5"/>
      <c r="M103" s="5"/>
    </row>
    <row r="104" spans="1:13" ht="19.5" customHeight="1" thickTop="1" x14ac:dyDescent="0.3">
      <c r="A104" s="5"/>
      <c r="B104" s="5"/>
      <c r="C104" s="5"/>
      <c r="D104" s="5"/>
      <c r="E104" s="5"/>
      <c r="F104" s="5"/>
      <c r="G104" s="5"/>
      <c r="H104" s="13"/>
      <c r="I104" s="2"/>
      <c r="J104" s="5"/>
      <c r="K104" s="5"/>
      <c r="L104" s="5"/>
      <c r="M104" s="5"/>
    </row>
    <row r="105" spans="1:13" ht="19.5" customHeight="1" x14ac:dyDescent="0.3">
      <c r="A105" s="220" t="s">
        <v>221</v>
      </c>
      <c r="B105" s="5"/>
      <c r="C105" s="5"/>
      <c r="D105" s="5"/>
      <c r="E105" s="5"/>
      <c r="F105" s="5"/>
      <c r="G105" s="5"/>
      <c r="H105" s="13"/>
      <c r="I105" s="2"/>
      <c r="J105" s="5"/>
      <c r="K105" s="5"/>
      <c r="L105" s="5"/>
      <c r="M105" s="5"/>
    </row>
    <row r="106" spans="1:13" ht="19.5" customHeight="1" x14ac:dyDescent="0.3">
      <c r="A106" s="221" t="s">
        <v>182</v>
      </c>
      <c r="B106" s="5"/>
      <c r="C106" s="5"/>
      <c r="D106" s="5"/>
      <c r="E106" s="5"/>
      <c r="F106" s="5"/>
      <c r="G106" s="5"/>
      <c r="H106" s="13"/>
      <c r="I106" s="2"/>
      <c r="J106" s="5"/>
      <c r="K106" s="5"/>
      <c r="L106" s="5"/>
      <c r="M106" s="5"/>
    </row>
    <row r="107" spans="1:13" ht="19.5" customHeight="1" x14ac:dyDescent="0.3">
      <c r="A107" s="5" t="s">
        <v>193</v>
      </c>
      <c r="B107" s="5" t="s">
        <v>198</v>
      </c>
      <c r="C107" s="5"/>
      <c r="D107" s="5"/>
      <c r="E107" s="206">
        <v>26.2</v>
      </c>
      <c r="F107" s="13" t="s">
        <v>13</v>
      </c>
      <c r="G107" s="5"/>
      <c r="H107" s="13" t="s">
        <v>5</v>
      </c>
      <c r="I107" s="2">
        <f>8.88*E107</f>
        <v>232.65600000000001</v>
      </c>
      <c r="J107" s="5" t="s">
        <v>111</v>
      </c>
      <c r="K107" s="5"/>
      <c r="L107" s="5"/>
      <c r="M107" s="5"/>
    </row>
    <row r="108" spans="1:13" ht="19.5" customHeight="1" x14ac:dyDescent="0.3">
      <c r="A108" s="5" t="s">
        <v>195</v>
      </c>
      <c r="B108" s="5"/>
      <c r="C108" s="5"/>
      <c r="D108" s="5"/>
      <c r="E108" s="206">
        <v>20.21</v>
      </c>
      <c r="F108" s="13" t="s">
        <v>13</v>
      </c>
      <c r="G108" s="5"/>
      <c r="H108" s="13" t="s">
        <v>5</v>
      </c>
      <c r="I108" s="2">
        <f>10*E108</f>
        <v>202.10000000000002</v>
      </c>
      <c r="J108" s="5" t="s">
        <v>111</v>
      </c>
      <c r="K108" s="5"/>
      <c r="L108" s="5"/>
      <c r="M108" s="5"/>
    </row>
    <row r="109" spans="1:13" ht="19.5" customHeight="1" x14ac:dyDescent="0.3">
      <c r="A109" s="5" t="s">
        <v>196</v>
      </c>
      <c r="B109" s="5"/>
      <c r="C109" s="5"/>
      <c r="D109" s="5"/>
      <c r="E109" s="206">
        <v>45</v>
      </c>
      <c r="F109" s="13" t="s">
        <v>13</v>
      </c>
      <c r="G109" s="5"/>
      <c r="H109" s="13" t="s">
        <v>5</v>
      </c>
      <c r="I109" s="2">
        <f>3.75*E109</f>
        <v>168.75</v>
      </c>
      <c r="J109" s="5" t="s">
        <v>111</v>
      </c>
      <c r="K109" s="5"/>
      <c r="L109" s="5"/>
      <c r="M109" s="5"/>
    </row>
    <row r="110" spans="1:13" ht="19.5" customHeight="1" x14ac:dyDescent="0.3">
      <c r="A110" s="5" t="s">
        <v>192</v>
      </c>
      <c r="B110" s="5"/>
      <c r="C110" s="5"/>
      <c r="D110" s="5"/>
      <c r="E110" s="5"/>
      <c r="F110" s="5"/>
      <c r="G110" s="5"/>
      <c r="H110" s="13" t="s">
        <v>191</v>
      </c>
      <c r="I110" s="2">
        <f>SUM(I107:I109)</f>
        <v>603.50600000000009</v>
      </c>
      <c r="J110" s="5" t="s">
        <v>111</v>
      </c>
      <c r="K110" s="5"/>
      <c r="L110" s="5"/>
      <c r="M110" s="5"/>
    </row>
    <row r="111" spans="1:13" ht="19.5" customHeight="1" thickBot="1" x14ac:dyDescent="0.35">
      <c r="A111" s="5" t="s">
        <v>110</v>
      </c>
      <c r="B111" s="5"/>
      <c r="C111" s="13">
        <v>1</v>
      </c>
      <c r="D111" s="5" t="s">
        <v>56</v>
      </c>
      <c r="E111" s="5"/>
      <c r="F111" s="5"/>
      <c r="G111" s="5"/>
      <c r="H111" s="13" t="s">
        <v>5</v>
      </c>
      <c r="I111" s="262">
        <f>I110/10</f>
        <v>60.350600000000007</v>
      </c>
      <c r="J111" s="5" t="s">
        <v>139</v>
      </c>
      <c r="K111" s="5"/>
      <c r="L111" s="5"/>
      <c r="M111" s="5"/>
    </row>
    <row r="112" spans="1:13" ht="19.5" customHeight="1" thickTop="1" thickBot="1" x14ac:dyDescent="0.35">
      <c r="A112" s="5" t="s">
        <v>181</v>
      </c>
      <c r="B112" s="5"/>
      <c r="C112" s="5"/>
      <c r="D112" s="5"/>
      <c r="E112" s="5"/>
      <c r="F112" s="5"/>
      <c r="G112" s="5"/>
      <c r="H112" s="13" t="s">
        <v>5</v>
      </c>
      <c r="I112" s="263">
        <f>FLOOR(I111,0.1)</f>
        <v>60.300000000000004</v>
      </c>
      <c r="J112" s="5" t="s">
        <v>139</v>
      </c>
      <c r="K112" s="5"/>
      <c r="L112" s="5"/>
      <c r="M112" s="5"/>
    </row>
    <row r="113" spans="1:13" ht="19.5" customHeight="1" thickTop="1" x14ac:dyDescent="0.3">
      <c r="A113" s="221"/>
      <c r="B113" s="5"/>
      <c r="C113" s="5"/>
      <c r="D113" s="5"/>
      <c r="E113" s="5"/>
      <c r="F113" s="5"/>
      <c r="G113" s="9"/>
      <c r="H113" s="13"/>
      <c r="I113" s="2"/>
      <c r="J113" s="5"/>
      <c r="K113" s="5"/>
      <c r="L113" s="5"/>
      <c r="M113" s="5"/>
    </row>
    <row r="114" spans="1:13" ht="19.5" customHeight="1" x14ac:dyDescent="0.3">
      <c r="A114" s="221"/>
      <c r="B114" s="5"/>
      <c r="C114" s="5"/>
      <c r="D114" s="5"/>
      <c r="E114" s="5"/>
      <c r="F114" s="5"/>
      <c r="G114" s="9"/>
      <c r="H114" s="13"/>
      <c r="I114" s="2"/>
      <c r="J114" s="5"/>
      <c r="K114" s="5"/>
      <c r="L114" s="5"/>
      <c r="M114" s="5"/>
    </row>
    <row r="115" spans="1:13" ht="19.5" customHeight="1" x14ac:dyDescent="0.3">
      <c r="A115" s="221"/>
      <c r="B115" s="5"/>
      <c r="C115" s="5"/>
      <c r="D115" s="5"/>
      <c r="E115" s="5"/>
      <c r="F115" s="5"/>
      <c r="G115" s="9"/>
      <c r="H115" s="13"/>
      <c r="I115" s="2"/>
      <c r="J115" s="5"/>
      <c r="K115" s="5"/>
      <c r="L115" s="5"/>
      <c r="M115" s="5"/>
    </row>
    <row r="116" spans="1:13" ht="19.5" customHeight="1" x14ac:dyDescent="0.3">
      <c r="A116" s="221"/>
      <c r="B116" s="5"/>
      <c r="C116" s="5"/>
      <c r="D116" s="5"/>
      <c r="E116" s="5"/>
      <c r="F116" s="5"/>
      <c r="G116" s="9"/>
      <c r="H116" s="13"/>
      <c r="I116" s="2"/>
      <c r="J116" s="5"/>
      <c r="K116" s="5"/>
      <c r="L116" s="5"/>
      <c r="M116" s="5"/>
    </row>
    <row r="117" spans="1:13" ht="19.5" customHeight="1" x14ac:dyDescent="0.3">
      <c r="A117" s="221"/>
      <c r="B117" s="5"/>
      <c r="C117" s="5"/>
      <c r="D117" s="5"/>
      <c r="E117" s="5"/>
      <c r="F117" s="5"/>
      <c r="G117" s="9"/>
      <c r="H117" s="13"/>
      <c r="I117" s="2"/>
      <c r="J117" s="5"/>
      <c r="K117" s="5"/>
      <c r="L117" s="5"/>
      <c r="M117" s="5"/>
    </row>
    <row r="118" spans="1:13" ht="19.5" customHeight="1" x14ac:dyDescent="0.3">
      <c r="A118" s="221"/>
      <c r="B118" s="5"/>
      <c r="C118" s="5"/>
      <c r="D118" s="5"/>
      <c r="E118" s="5"/>
      <c r="F118" s="5"/>
      <c r="G118" s="9"/>
      <c r="H118" s="13"/>
      <c r="I118" s="2"/>
      <c r="J118" s="5"/>
      <c r="K118" s="5"/>
      <c r="L118" s="5"/>
      <c r="M118" s="5"/>
    </row>
    <row r="119" spans="1:13" ht="19.5" customHeight="1" x14ac:dyDescent="0.3">
      <c r="A119" s="221"/>
      <c r="B119" s="5"/>
      <c r="C119" s="5"/>
      <c r="D119" s="5"/>
      <c r="E119" s="5"/>
      <c r="F119" s="5"/>
      <c r="G119" s="9"/>
      <c r="H119" s="13"/>
      <c r="I119" s="2"/>
      <c r="J119" s="5"/>
      <c r="K119" s="5"/>
      <c r="L119" s="5"/>
      <c r="M119" s="5"/>
    </row>
    <row r="120" spans="1:13" ht="19.5" customHeight="1" x14ac:dyDescent="0.3">
      <c r="A120" s="221"/>
      <c r="B120" s="5"/>
      <c r="C120" s="5"/>
      <c r="D120" s="5"/>
      <c r="E120" s="5"/>
      <c r="F120" s="5"/>
      <c r="G120" s="9"/>
      <c r="H120" s="13"/>
      <c r="I120" s="2"/>
      <c r="J120" s="5"/>
      <c r="K120" s="5"/>
      <c r="L120" s="5"/>
      <c r="M120" s="5"/>
    </row>
    <row r="121" spans="1:13" ht="21.75" customHeight="1" x14ac:dyDescent="0.3">
      <c r="A121" s="8" t="s">
        <v>222</v>
      </c>
      <c r="B121" s="5"/>
      <c r="C121" s="5"/>
      <c r="D121" s="5"/>
      <c r="E121" s="5"/>
      <c r="F121" s="5"/>
      <c r="G121" s="5"/>
      <c r="H121" s="13"/>
      <c r="I121" s="2"/>
      <c r="J121" s="5"/>
      <c r="K121" s="5"/>
      <c r="L121" s="5"/>
      <c r="M121" s="5"/>
    </row>
    <row r="122" spans="1:13" ht="21.75" customHeight="1" x14ac:dyDescent="0.3">
      <c r="A122" s="5" t="s">
        <v>102</v>
      </c>
      <c r="B122" s="5"/>
      <c r="C122" s="5"/>
      <c r="D122" s="197">
        <v>336</v>
      </c>
      <c r="E122" s="5" t="s">
        <v>19</v>
      </c>
      <c r="F122" s="5" t="s">
        <v>103</v>
      </c>
      <c r="G122" s="198">
        <v>2.39</v>
      </c>
      <c r="H122" s="13" t="s">
        <v>5</v>
      </c>
      <c r="I122" s="2">
        <f>D122*G122</f>
        <v>803.04000000000008</v>
      </c>
      <c r="J122" s="5" t="s">
        <v>80</v>
      </c>
      <c r="K122" s="5"/>
      <c r="L122" s="5"/>
      <c r="M122" s="5"/>
    </row>
    <row r="123" spans="1:13" ht="21.75" customHeight="1" x14ac:dyDescent="0.3">
      <c r="A123" s="5" t="s">
        <v>104</v>
      </c>
      <c r="B123" s="5"/>
      <c r="C123" s="5"/>
      <c r="D123" s="200">
        <v>0.71499999999999997</v>
      </c>
      <c r="E123" s="5" t="s">
        <v>3</v>
      </c>
      <c r="F123" s="5" t="s">
        <v>103</v>
      </c>
      <c r="G123" s="197">
        <v>642</v>
      </c>
      <c r="H123" s="13" t="s">
        <v>5</v>
      </c>
      <c r="I123" s="2">
        <f>D123*G123</f>
        <v>459.03</v>
      </c>
      <c r="J123" s="5" t="s">
        <v>80</v>
      </c>
      <c r="K123" s="5"/>
      <c r="L123" s="5"/>
      <c r="M123" s="5"/>
    </row>
    <row r="124" spans="1:13" ht="21.75" customHeight="1" x14ac:dyDescent="0.3">
      <c r="A124" s="5" t="s">
        <v>105</v>
      </c>
      <c r="B124" s="5"/>
      <c r="C124" s="5"/>
      <c r="D124" s="200">
        <v>0.879</v>
      </c>
      <c r="E124" s="5" t="s">
        <v>3</v>
      </c>
      <c r="F124" s="5" t="s">
        <v>103</v>
      </c>
      <c r="G124" s="197">
        <v>577</v>
      </c>
      <c r="H124" s="13" t="s">
        <v>5</v>
      </c>
      <c r="I124" s="2">
        <f>D124*G124</f>
        <v>507.18299999999999</v>
      </c>
      <c r="J124" s="5" t="s">
        <v>80</v>
      </c>
      <c r="K124" s="5"/>
      <c r="L124" s="5"/>
      <c r="M124" s="5"/>
    </row>
    <row r="125" spans="1:13" ht="21.75" customHeight="1" x14ac:dyDescent="0.3">
      <c r="A125" s="5" t="s">
        <v>106</v>
      </c>
      <c r="B125" s="5"/>
      <c r="C125" s="5"/>
      <c r="D125" s="197">
        <v>180</v>
      </c>
      <c r="E125" s="5" t="s">
        <v>107</v>
      </c>
      <c r="F125" s="5" t="s">
        <v>103</v>
      </c>
      <c r="G125" s="197"/>
      <c r="H125" s="13" t="s">
        <v>5</v>
      </c>
      <c r="I125" s="2">
        <f>D125*G125</f>
        <v>0</v>
      </c>
      <c r="J125" s="5" t="s">
        <v>80</v>
      </c>
      <c r="K125" s="5"/>
      <c r="L125" s="5"/>
      <c r="M125" s="5"/>
    </row>
    <row r="126" spans="1:13" ht="21.75" customHeight="1" x14ac:dyDescent="0.3">
      <c r="A126" s="5" t="s">
        <v>108</v>
      </c>
      <c r="B126" s="5"/>
      <c r="C126" s="5"/>
      <c r="D126" s="5"/>
      <c r="E126" s="5"/>
      <c r="F126" s="5"/>
      <c r="G126" s="5"/>
      <c r="H126" s="13" t="s">
        <v>5</v>
      </c>
      <c r="I126" s="2">
        <v>306</v>
      </c>
      <c r="J126" s="5" t="s">
        <v>80</v>
      </c>
      <c r="K126" s="5"/>
      <c r="L126" s="5"/>
      <c r="M126" s="5"/>
    </row>
    <row r="127" spans="1:13" ht="21.75" customHeight="1" x14ac:dyDescent="0.3">
      <c r="A127" s="5" t="s">
        <v>109</v>
      </c>
      <c r="B127" s="5"/>
      <c r="C127" s="5"/>
      <c r="D127" s="5"/>
      <c r="E127" s="5"/>
      <c r="F127" s="5"/>
      <c r="G127" s="5"/>
      <c r="H127" s="13" t="s">
        <v>5</v>
      </c>
      <c r="I127" s="2">
        <f>SUM(I122:I126)</f>
        <v>2075.2530000000002</v>
      </c>
      <c r="J127" s="5" t="s">
        <v>80</v>
      </c>
      <c r="K127" s="5"/>
      <c r="L127" s="5"/>
      <c r="M127" s="5"/>
    </row>
    <row r="128" spans="1:13" ht="21.75" customHeight="1" thickBot="1" x14ac:dyDescent="0.35">
      <c r="A128" s="5" t="s">
        <v>110</v>
      </c>
      <c r="B128" s="5"/>
      <c r="C128" s="5"/>
      <c r="D128" s="5"/>
      <c r="E128" s="5"/>
      <c r="F128" s="5"/>
      <c r="G128" s="5"/>
      <c r="H128" s="13" t="s">
        <v>5</v>
      </c>
      <c r="I128" s="205">
        <f>FLOOR(I127,1)</f>
        <v>2075</v>
      </c>
      <c r="J128" s="5" t="s">
        <v>80</v>
      </c>
      <c r="K128" s="5"/>
      <c r="L128" s="5"/>
      <c r="M128" s="5"/>
    </row>
    <row r="129" spans="1:15" ht="21.75" customHeight="1" thickTop="1" x14ac:dyDescent="0.3">
      <c r="A129" s="5"/>
      <c r="B129" s="5"/>
      <c r="C129" s="5"/>
      <c r="D129" s="5"/>
      <c r="E129" s="5"/>
      <c r="F129" s="5"/>
      <c r="G129" s="74"/>
      <c r="H129" s="13"/>
      <c r="I129" s="2"/>
      <c r="J129" s="5"/>
      <c r="K129" s="5"/>
      <c r="L129" s="4"/>
      <c r="M129" s="5"/>
      <c r="O129" s="1"/>
    </row>
    <row r="130" spans="1:15" ht="21.75" customHeight="1" x14ac:dyDescent="0.3">
      <c r="A130" s="8" t="s">
        <v>223</v>
      </c>
      <c r="B130" s="5"/>
      <c r="C130" s="5"/>
      <c r="D130" s="5"/>
      <c r="E130" s="5"/>
      <c r="F130" s="5"/>
      <c r="G130" s="5"/>
      <c r="H130" s="13"/>
      <c r="I130" s="2"/>
      <c r="J130" s="5"/>
      <c r="K130" s="5"/>
      <c r="L130" s="5"/>
      <c r="M130" s="5"/>
    </row>
    <row r="131" spans="1:15" ht="21.75" customHeight="1" x14ac:dyDescent="0.3">
      <c r="A131" s="5" t="s">
        <v>102</v>
      </c>
      <c r="B131" s="5"/>
      <c r="C131" s="5"/>
      <c r="D131" s="197">
        <v>367.5</v>
      </c>
      <c r="E131" s="5" t="s">
        <v>19</v>
      </c>
      <c r="F131" s="5" t="s">
        <v>103</v>
      </c>
      <c r="G131" s="342">
        <v>2.27</v>
      </c>
      <c r="H131" s="13" t="s">
        <v>5</v>
      </c>
      <c r="I131" s="2">
        <f>D131*G131</f>
        <v>834.22500000000002</v>
      </c>
      <c r="J131" s="5" t="s">
        <v>80</v>
      </c>
      <c r="K131" s="5"/>
      <c r="L131" s="5"/>
      <c r="M131" s="5"/>
    </row>
    <row r="132" spans="1:15" ht="21.75" customHeight="1" x14ac:dyDescent="0.3">
      <c r="A132" s="5" t="s">
        <v>104</v>
      </c>
      <c r="B132" s="5"/>
      <c r="C132" s="5"/>
      <c r="D132" s="200">
        <v>0.68600000000000005</v>
      </c>
      <c r="E132" s="5" t="s">
        <v>3</v>
      </c>
      <c r="F132" s="5" t="s">
        <v>103</v>
      </c>
      <c r="G132" s="343">
        <v>642.53</v>
      </c>
      <c r="H132" s="13" t="s">
        <v>5</v>
      </c>
      <c r="I132" s="2">
        <f>D132*G132</f>
        <v>440.77557999999999</v>
      </c>
      <c r="J132" s="5" t="s">
        <v>80</v>
      </c>
      <c r="K132" s="5"/>
      <c r="L132" s="5"/>
      <c r="M132" s="5"/>
    </row>
    <row r="133" spans="1:15" ht="21.75" customHeight="1" x14ac:dyDescent="0.3">
      <c r="A133" s="5" t="s">
        <v>105</v>
      </c>
      <c r="B133" s="5"/>
      <c r="C133" s="5"/>
      <c r="D133" s="200">
        <v>0.84599999999999997</v>
      </c>
      <c r="E133" s="5" t="s">
        <v>3</v>
      </c>
      <c r="F133" s="5" t="s">
        <v>103</v>
      </c>
      <c r="G133" s="343">
        <v>577</v>
      </c>
      <c r="H133" s="13" t="s">
        <v>5</v>
      </c>
      <c r="I133" s="2">
        <f>D133*G133</f>
        <v>488.142</v>
      </c>
      <c r="J133" s="5" t="s">
        <v>80</v>
      </c>
      <c r="K133" s="5"/>
      <c r="L133" s="5"/>
      <c r="M133" s="5"/>
    </row>
    <row r="134" spans="1:15" ht="21.75" customHeight="1" x14ac:dyDescent="0.3">
      <c r="A134" s="5" t="s">
        <v>106</v>
      </c>
      <c r="B134" s="5"/>
      <c r="C134" s="5"/>
      <c r="D134" s="197">
        <v>180</v>
      </c>
      <c r="E134" s="5" t="s">
        <v>107</v>
      </c>
      <c r="F134" s="5" t="s">
        <v>103</v>
      </c>
      <c r="G134" s="197"/>
      <c r="H134" s="13" t="s">
        <v>5</v>
      </c>
      <c r="I134" s="2">
        <f>D134*G134</f>
        <v>0</v>
      </c>
      <c r="J134" s="5" t="s">
        <v>80</v>
      </c>
      <c r="K134" s="5"/>
      <c r="L134" s="5"/>
      <c r="M134" s="5"/>
    </row>
    <row r="135" spans="1:15" ht="21.75" customHeight="1" x14ac:dyDescent="0.3">
      <c r="A135" s="5" t="s">
        <v>108</v>
      </c>
      <c r="B135" s="5"/>
      <c r="C135" s="5"/>
      <c r="D135" s="5"/>
      <c r="E135" s="5"/>
      <c r="F135" s="5"/>
      <c r="G135" s="5"/>
      <c r="H135" s="13" t="s">
        <v>5</v>
      </c>
      <c r="I135" s="2">
        <v>0</v>
      </c>
      <c r="J135" s="5" t="s">
        <v>80</v>
      </c>
      <c r="K135" s="5"/>
      <c r="L135" s="5"/>
      <c r="M135" s="5"/>
    </row>
    <row r="136" spans="1:15" ht="21.75" customHeight="1" x14ac:dyDescent="0.3">
      <c r="A136" s="5" t="s">
        <v>109</v>
      </c>
      <c r="B136" s="5"/>
      <c r="C136" s="5"/>
      <c r="D136" s="5"/>
      <c r="E136" s="5"/>
      <c r="F136" s="5"/>
      <c r="G136" s="5"/>
      <c r="H136" s="13" t="s">
        <v>5</v>
      </c>
      <c r="I136" s="2">
        <f>SUM(I131:I135)</f>
        <v>1763.14258</v>
      </c>
      <c r="J136" s="5" t="s">
        <v>80</v>
      </c>
      <c r="K136" s="5"/>
      <c r="L136" s="5"/>
      <c r="M136" s="5"/>
    </row>
    <row r="137" spans="1:15" ht="21.75" customHeight="1" thickBot="1" x14ac:dyDescent="0.35">
      <c r="A137" s="5" t="s">
        <v>110</v>
      </c>
      <c r="B137" s="5"/>
      <c r="C137" s="5"/>
      <c r="D137" s="5"/>
      <c r="E137" s="5"/>
      <c r="F137" s="5"/>
      <c r="G137" s="5"/>
      <c r="H137" s="13" t="s">
        <v>5</v>
      </c>
      <c r="I137" s="205">
        <f>FLOOR(I136,1)</f>
        <v>1763</v>
      </c>
      <c r="J137" s="5" t="s">
        <v>80</v>
      </c>
      <c r="K137" s="5"/>
      <c r="L137" s="5"/>
      <c r="M137" s="5"/>
    </row>
    <row r="138" spans="1:15" ht="21.75" customHeight="1" thickTop="1" x14ac:dyDescent="0.3">
      <c r="A138" s="5"/>
      <c r="B138" s="5"/>
      <c r="C138" s="5"/>
      <c r="D138" s="5"/>
      <c r="E138" s="5"/>
      <c r="F138" s="5"/>
      <c r="G138" s="74"/>
      <c r="H138" s="13"/>
      <c r="I138" s="2"/>
      <c r="J138" s="5"/>
      <c r="K138" s="5"/>
      <c r="L138" s="4"/>
      <c r="M138" s="5"/>
      <c r="O138" s="1"/>
    </row>
    <row r="139" spans="1:15" ht="21.75" customHeight="1" x14ac:dyDescent="0.3">
      <c r="A139" s="8" t="s">
        <v>224</v>
      </c>
      <c r="B139" s="5"/>
      <c r="C139" s="5"/>
      <c r="D139" s="5"/>
      <c r="E139" s="5"/>
      <c r="F139" s="5"/>
      <c r="G139" s="5"/>
      <c r="H139" s="13"/>
      <c r="I139" s="2"/>
      <c r="J139" s="5"/>
      <c r="K139" s="5"/>
      <c r="L139" s="5"/>
      <c r="M139" s="5"/>
    </row>
    <row r="140" spans="1:15" ht="21.75" customHeight="1" x14ac:dyDescent="0.3">
      <c r="A140" s="5" t="s">
        <v>102</v>
      </c>
      <c r="B140" s="5"/>
      <c r="C140" s="5"/>
      <c r="D140" s="197">
        <v>252</v>
      </c>
      <c r="E140" s="5" t="s">
        <v>19</v>
      </c>
      <c r="F140" s="5" t="s">
        <v>103</v>
      </c>
      <c r="G140" s="198">
        <v>2.39</v>
      </c>
      <c r="H140" s="13" t="s">
        <v>5</v>
      </c>
      <c r="I140" s="2">
        <f>D140*G140</f>
        <v>602.28000000000009</v>
      </c>
      <c r="J140" s="5" t="s">
        <v>80</v>
      </c>
      <c r="K140" s="5"/>
      <c r="L140" s="5"/>
      <c r="M140" s="5"/>
    </row>
    <row r="141" spans="1:15" ht="21.75" customHeight="1" x14ac:dyDescent="0.3">
      <c r="A141" s="5" t="s">
        <v>104</v>
      </c>
      <c r="B141" s="5"/>
      <c r="C141" s="5"/>
      <c r="D141" s="200">
        <v>0.624</v>
      </c>
      <c r="E141" s="5" t="s">
        <v>3</v>
      </c>
      <c r="F141" s="5" t="s">
        <v>103</v>
      </c>
      <c r="G141" s="197">
        <v>642</v>
      </c>
      <c r="H141" s="13" t="s">
        <v>5</v>
      </c>
      <c r="I141" s="2">
        <f>D141*G141</f>
        <v>400.608</v>
      </c>
      <c r="J141" s="5" t="s">
        <v>80</v>
      </c>
      <c r="K141" s="5"/>
      <c r="L141" s="5"/>
      <c r="M141" s="5"/>
    </row>
    <row r="142" spans="1:15" ht="21.75" customHeight="1" x14ac:dyDescent="0.3">
      <c r="A142" s="5" t="s">
        <v>105</v>
      </c>
      <c r="B142" s="5"/>
      <c r="C142" s="5"/>
      <c r="D142" s="197">
        <v>1</v>
      </c>
      <c r="E142" s="5" t="s">
        <v>3</v>
      </c>
      <c r="F142" s="5" t="s">
        <v>103</v>
      </c>
      <c r="G142" s="197">
        <v>577</v>
      </c>
      <c r="H142" s="13" t="s">
        <v>5</v>
      </c>
      <c r="I142" s="2">
        <f>D142*G142</f>
        <v>577</v>
      </c>
      <c r="J142" s="5" t="s">
        <v>80</v>
      </c>
      <c r="K142" s="5"/>
      <c r="L142" s="5"/>
      <c r="M142" s="5"/>
    </row>
    <row r="143" spans="1:15" ht="21.75" customHeight="1" x14ac:dyDescent="0.3">
      <c r="A143" s="5" t="s">
        <v>106</v>
      </c>
      <c r="B143" s="5"/>
      <c r="C143" s="5"/>
      <c r="D143" s="197">
        <v>180</v>
      </c>
      <c r="E143" s="5" t="s">
        <v>107</v>
      </c>
      <c r="F143" s="5" t="s">
        <v>103</v>
      </c>
      <c r="G143" s="197">
        <v>0</v>
      </c>
      <c r="H143" s="13" t="s">
        <v>5</v>
      </c>
      <c r="I143" s="2">
        <f>D143*G143</f>
        <v>0</v>
      </c>
      <c r="J143" s="5" t="s">
        <v>80</v>
      </c>
      <c r="K143" s="5"/>
      <c r="L143" s="5"/>
      <c r="M143" s="5"/>
    </row>
    <row r="144" spans="1:15" ht="21.75" customHeight="1" x14ac:dyDescent="0.3">
      <c r="A144" s="5" t="s">
        <v>108</v>
      </c>
      <c r="B144" s="5"/>
      <c r="C144" s="5"/>
      <c r="D144" s="5"/>
      <c r="E144" s="5"/>
      <c r="F144" s="5"/>
      <c r="G144" s="5"/>
      <c r="H144" s="13" t="s">
        <v>5</v>
      </c>
      <c r="I144" s="2">
        <v>398</v>
      </c>
      <c r="J144" s="5" t="s">
        <v>80</v>
      </c>
      <c r="K144" s="5"/>
      <c r="L144" s="5"/>
      <c r="M144" s="5"/>
    </row>
    <row r="145" spans="1:15" ht="21.75" customHeight="1" x14ac:dyDescent="0.3">
      <c r="A145" s="5" t="s">
        <v>109</v>
      </c>
      <c r="B145" s="5"/>
      <c r="C145" s="5"/>
      <c r="D145" s="5"/>
      <c r="E145" s="5"/>
      <c r="F145" s="5"/>
      <c r="G145" s="5"/>
      <c r="H145" s="13" t="s">
        <v>5</v>
      </c>
      <c r="I145" s="2">
        <f>SUM(I140:I144)</f>
        <v>1977.8880000000001</v>
      </c>
      <c r="J145" s="5" t="s">
        <v>80</v>
      </c>
      <c r="K145" s="5"/>
      <c r="L145" s="5"/>
      <c r="M145" s="5"/>
    </row>
    <row r="146" spans="1:15" ht="21.75" customHeight="1" thickBot="1" x14ac:dyDescent="0.35">
      <c r="A146" s="5" t="s">
        <v>110</v>
      </c>
      <c r="B146" s="5"/>
      <c r="C146" s="5"/>
      <c r="D146" s="5"/>
      <c r="E146" s="5"/>
      <c r="F146" s="5"/>
      <c r="G146" s="5"/>
      <c r="H146" s="13" t="s">
        <v>5</v>
      </c>
      <c r="I146" s="205">
        <f>FLOOR(I145,1)</f>
        <v>1977</v>
      </c>
      <c r="J146" s="5" t="s">
        <v>80</v>
      </c>
      <c r="K146" s="5"/>
      <c r="L146" s="5"/>
      <c r="M146" s="5"/>
    </row>
    <row r="147" spans="1:15" ht="21.75" customHeight="1" thickTop="1" x14ac:dyDescent="0.3">
      <c r="A147" s="5"/>
      <c r="B147" s="5"/>
      <c r="C147" s="5"/>
      <c r="D147" s="5"/>
      <c r="E147" s="5"/>
      <c r="F147" s="5"/>
      <c r="G147" s="5"/>
      <c r="H147" s="13"/>
      <c r="I147" s="207"/>
      <c r="J147" s="5"/>
      <c r="K147" s="5"/>
      <c r="L147" s="5"/>
      <c r="M147" s="5"/>
    </row>
    <row r="148" spans="1:15" ht="21.75" customHeight="1" x14ac:dyDescent="0.3">
      <c r="A148" s="8" t="s">
        <v>225</v>
      </c>
      <c r="B148" s="5"/>
      <c r="C148" s="5"/>
      <c r="D148" s="5"/>
      <c r="E148" s="5"/>
      <c r="F148" s="5"/>
      <c r="G148" s="74"/>
      <c r="H148" s="13"/>
      <c r="I148" s="2"/>
      <c r="J148" s="5"/>
      <c r="K148" s="5"/>
      <c r="L148" s="4"/>
      <c r="M148" s="5"/>
      <c r="O148" s="1"/>
    </row>
    <row r="149" spans="1:15" ht="21.75" customHeight="1" x14ac:dyDescent="0.3">
      <c r="A149" s="10" t="s">
        <v>199</v>
      </c>
      <c r="B149" s="10"/>
      <c r="C149" s="5"/>
      <c r="D149" s="5"/>
      <c r="E149" s="5"/>
      <c r="F149" s="5"/>
      <c r="G149" s="74"/>
      <c r="H149" s="13"/>
      <c r="I149" s="2"/>
      <c r="J149" s="5"/>
      <c r="K149" s="5"/>
      <c r="L149" s="4"/>
      <c r="M149" s="5"/>
      <c r="O149" s="1"/>
    </row>
    <row r="150" spans="1:15" ht="21.75" customHeight="1" x14ac:dyDescent="0.3">
      <c r="A150" s="5"/>
      <c r="B150" s="5" t="s">
        <v>10</v>
      </c>
      <c r="C150" s="5"/>
      <c r="D150" s="5"/>
      <c r="E150" s="5"/>
      <c r="F150" s="5"/>
      <c r="G150" s="74"/>
      <c r="H150" s="13" t="s">
        <v>5</v>
      </c>
      <c r="I150" s="2">
        <v>670</v>
      </c>
      <c r="J150" s="5" t="s">
        <v>11</v>
      </c>
      <c r="K150" s="5"/>
      <c r="L150" s="4"/>
      <c r="M150" s="5"/>
      <c r="O150" s="1"/>
    </row>
    <row r="151" spans="1:15" ht="21.75" customHeight="1" x14ac:dyDescent="0.3">
      <c r="A151" s="5"/>
      <c r="B151" s="5" t="s">
        <v>12</v>
      </c>
      <c r="C151" s="5"/>
      <c r="D151" s="9"/>
      <c r="E151" s="6">
        <v>1.4</v>
      </c>
      <c r="F151" s="11" t="s">
        <v>3</v>
      </c>
      <c r="G151" s="74">
        <v>530</v>
      </c>
      <c r="H151" s="13" t="s">
        <v>5</v>
      </c>
      <c r="I151" s="2">
        <f>E151*G151</f>
        <v>742</v>
      </c>
      <c r="J151" s="5" t="s">
        <v>13</v>
      </c>
      <c r="K151" s="5"/>
      <c r="L151" s="4"/>
      <c r="M151" s="5"/>
      <c r="O151" s="1"/>
    </row>
    <row r="152" spans="1:15" ht="21.75" customHeight="1" x14ac:dyDescent="0.3">
      <c r="A152" s="5"/>
      <c r="B152" s="5" t="s">
        <v>14</v>
      </c>
      <c r="C152" s="5"/>
      <c r="D152" s="9"/>
      <c r="E152" s="5">
        <v>0.32</v>
      </c>
      <c r="F152" s="11" t="s">
        <v>3</v>
      </c>
      <c r="G152" s="74">
        <v>1579</v>
      </c>
      <c r="H152" s="13" t="s">
        <v>5</v>
      </c>
      <c r="I152" s="2">
        <f>E152*G152</f>
        <v>505.28000000000003</v>
      </c>
      <c r="J152" s="5" t="s">
        <v>13</v>
      </c>
      <c r="K152" s="5"/>
      <c r="L152" s="4"/>
      <c r="M152" s="5"/>
      <c r="O152" s="1"/>
    </row>
    <row r="153" spans="1:15" ht="21.75" customHeight="1" x14ac:dyDescent="0.3">
      <c r="A153" s="5"/>
      <c r="B153" s="5" t="s">
        <v>15</v>
      </c>
      <c r="C153" s="5"/>
      <c r="D153" s="9"/>
      <c r="E153" s="5">
        <v>0.01</v>
      </c>
      <c r="F153" s="11" t="s">
        <v>3</v>
      </c>
      <c r="G153" s="74">
        <v>1700</v>
      </c>
      <c r="H153" s="13" t="s">
        <v>5</v>
      </c>
      <c r="I153" s="2">
        <f>E153*G153</f>
        <v>17</v>
      </c>
      <c r="J153" s="5" t="s">
        <v>13</v>
      </c>
      <c r="K153" s="5"/>
      <c r="L153" s="4"/>
      <c r="M153" s="5"/>
      <c r="O153" s="1"/>
    </row>
    <row r="154" spans="1:15" ht="21.75" customHeight="1" x14ac:dyDescent="0.3">
      <c r="A154" s="5"/>
      <c r="B154" s="5" t="s">
        <v>16</v>
      </c>
      <c r="C154" s="5"/>
      <c r="D154" s="5"/>
      <c r="E154" s="5"/>
      <c r="F154" s="11"/>
      <c r="G154" s="74"/>
      <c r="H154" s="13" t="s">
        <v>5</v>
      </c>
      <c r="I154" s="2">
        <f>ROUND(4694/40,2)</f>
        <v>117.35</v>
      </c>
      <c r="J154" s="5" t="s">
        <v>13</v>
      </c>
      <c r="K154" s="5"/>
      <c r="L154" s="4"/>
      <c r="M154" s="5"/>
      <c r="O154" s="1"/>
    </row>
    <row r="155" spans="1:15" ht="21.75" customHeight="1" x14ac:dyDescent="0.3">
      <c r="A155" s="5"/>
      <c r="B155" s="5"/>
      <c r="C155" s="5"/>
      <c r="D155" s="5"/>
      <c r="E155" s="5"/>
      <c r="F155" s="11" t="s">
        <v>17</v>
      </c>
      <c r="G155" s="74"/>
      <c r="H155" s="13" t="s">
        <v>5</v>
      </c>
      <c r="I155" s="2">
        <f>SUM(I150:I154)</f>
        <v>2051.63</v>
      </c>
      <c r="J155" s="5" t="s">
        <v>13</v>
      </c>
      <c r="K155" s="5"/>
      <c r="L155" s="4"/>
      <c r="M155" s="5"/>
      <c r="O155" s="1"/>
    </row>
    <row r="156" spans="1:15" ht="21.75" customHeight="1" thickBot="1" x14ac:dyDescent="0.35">
      <c r="A156" s="5"/>
      <c r="B156" s="7" t="s">
        <v>18</v>
      </c>
      <c r="C156" s="5"/>
      <c r="D156" s="5"/>
      <c r="E156" s="5"/>
      <c r="F156" s="5"/>
      <c r="G156" s="74"/>
      <c r="H156" s="13" t="s">
        <v>5</v>
      </c>
      <c r="I156" s="264">
        <f>FLOOR(I155,1)</f>
        <v>2051</v>
      </c>
      <c r="J156" s="5" t="s">
        <v>13</v>
      </c>
      <c r="K156" s="5"/>
      <c r="L156" s="4"/>
      <c r="M156" s="5"/>
      <c r="O156" s="1"/>
    </row>
    <row r="157" spans="1:15" ht="21.75" customHeight="1" thickTop="1" x14ac:dyDescent="0.3">
      <c r="A157" s="8" t="s">
        <v>226</v>
      </c>
      <c r="B157" s="5"/>
      <c r="C157" s="5"/>
      <c r="D157" s="5"/>
      <c r="E157" s="5"/>
      <c r="F157" s="5"/>
      <c r="G157" s="5"/>
      <c r="H157" s="13"/>
      <c r="I157" s="2"/>
      <c r="J157" s="5"/>
      <c r="K157" s="5"/>
      <c r="L157" s="5"/>
      <c r="M157" s="5"/>
    </row>
    <row r="158" spans="1:15" ht="21.75" customHeight="1" x14ac:dyDescent="0.3">
      <c r="A158" s="5" t="s">
        <v>114</v>
      </c>
      <c r="B158" s="5"/>
      <c r="C158" s="5"/>
      <c r="D158" s="197">
        <v>1</v>
      </c>
      <c r="E158" s="5" t="s">
        <v>115</v>
      </c>
      <c r="F158" s="5" t="s">
        <v>103</v>
      </c>
      <c r="G158" s="198">
        <v>467.29</v>
      </c>
      <c r="H158" s="13" t="s">
        <v>5</v>
      </c>
      <c r="I158" s="2">
        <f>D158*G158</f>
        <v>467.29</v>
      </c>
      <c r="J158" s="5" t="s">
        <v>21</v>
      </c>
      <c r="K158" s="5"/>
      <c r="L158" s="5"/>
      <c r="M158" s="5"/>
    </row>
    <row r="159" spans="1:15" ht="21.75" customHeight="1" x14ac:dyDescent="0.3">
      <c r="A159" s="5" t="s">
        <v>116</v>
      </c>
      <c r="B159" s="5"/>
      <c r="C159" s="5"/>
      <c r="D159" s="200">
        <v>1</v>
      </c>
      <c r="E159" s="5" t="s">
        <v>20</v>
      </c>
      <c r="F159" s="5" t="s">
        <v>103</v>
      </c>
      <c r="G159" s="197">
        <v>55.17</v>
      </c>
      <c r="H159" s="13" t="s">
        <v>5</v>
      </c>
      <c r="I159" s="2">
        <f>D159*G159</f>
        <v>55.17</v>
      </c>
      <c r="J159" s="5" t="s">
        <v>21</v>
      </c>
      <c r="K159" s="5"/>
      <c r="L159" s="5"/>
      <c r="M159" s="5"/>
    </row>
    <row r="160" spans="1:15" ht="21.75" customHeight="1" x14ac:dyDescent="0.3">
      <c r="A160" s="5" t="s">
        <v>117</v>
      </c>
      <c r="B160" s="5"/>
      <c r="C160" s="5"/>
      <c r="D160" s="200">
        <v>0.3</v>
      </c>
      <c r="E160" s="5" t="s">
        <v>115</v>
      </c>
      <c r="F160" s="5" t="s">
        <v>103</v>
      </c>
      <c r="G160" s="197">
        <v>514</v>
      </c>
      <c r="H160" s="13" t="s">
        <v>5</v>
      </c>
      <c r="I160" s="2">
        <f>D160*G160</f>
        <v>154.19999999999999</v>
      </c>
      <c r="J160" s="5" t="s">
        <v>21</v>
      </c>
      <c r="K160" s="5"/>
      <c r="L160" s="5"/>
      <c r="M160" s="5"/>
    </row>
    <row r="161" spans="1:15" ht="21.75" customHeight="1" x14ac:dyDescent="0.3">
      <c r="A161" s="5" t="s">
        <v>118</v>
      </c>
      <c r="B161" s="5"/>
      <c r="C161" s="5"/>
      <c r="D161" s="197">
        <v>0.25</v>
      </c>
      <c r="E161" s="5" t="s">
        <v>19</v>
      </c>
      <c r="F161" s="5" t="s">
        <v>103</v>
      </c>
      <c r="G161" s="197">
        <v>38.32</v>
      </c>
      <c r="H161" s="13" t="s">
        <v>5</v>
      </c>
      <c r="I161" s="2">
        <f>D161*G161</f>
        <v>9.58</v>
      </c>
      <c r="J161" s="5" t="s">
        <v>21</v>
      </c>
      <c r="K161" s="5"/>
      <c r="L161" s="5"/>
      <c r="M161" s="5"/>
    </row>
    <row r="162" spans="1:15" ht="21.75" customHeight="1" x14ac:dyDescent="0.3">
      <c r="A162" s="5"/>
      <c r="B162" s="5"/>
      <c r="C162" s="5"/>
      <c r="D162" s="5"/>
      <c r="E162" s="5"/>
      <c r="F162" s="5" t="s">
        <v>119</v>
      </c>
      <c r="G162" s="5"/>
      <c r="H162" s="13" t="s">
        <v>5</v>
      </c>
      <c r="I162" s="2">
        <f>SUM(I158:I161)</f>
        <v>686.24000000000012</v>
      </c>
      <c r="J162" s="5" t="s">
        <v>21</v>
      </c>
      <c r="K162" s="5"/>
      <c r="L162" s="5"/>
      <c r="M162" s="5"/>
    </row>
    <row r="163" spans="1:15" ht="21.75" customHeight="1" x14ac:dyDescent="0.3">
      <c r="A163" s="5" t="s">
        <v>120</v>
      </c>
      <c r="B163" s="5"/>
      <c r="C163" s="5"/>
      <c r="D163" s="5"/>
      <c r="E163" s="5"/>
      <c r="F163" s="5"/>
      <c r="G163" s="5"/>
      <c r="H163" s="13" t="s">
        <v>5</v>
      </c>
      <c r="I163" s="2">
        <f>I162/3</f>
        <v>228.7466666666667</v>
      </c>
      <c r="J163" s="5" t="s">
        <v>21</v>
      </c>
      <c r="K163" s="5"/>
      <c r="L163" s="5"/>
      <c r="M163" s="5"/>
    </row>
    <row r="164" spans="1:15" ht="21.75" customHeight="1" x14ac:dyDescent="0.3">
      <c r="A164" s="5" t="s">
        <v>121</v>
      </c>
      <c r="B164" s="5"/>
      <c r="C164" s="5"/>
      <c r="D164" s="5"/>
      <c r="E164" s="5"/>
      <c r="F164" s="5"/>
      <c r="G164" s="5"/>
      <c r="H164" s="13" t="s">
        <v>5</v>
      </c>
      <c r="I164" s="2">
        <v>133</v>
      </c>
      <c r="J164" s="5" t="s">
        <v>21</v>
      </c>
      <c r="K164" s="5"/>
      <c r="L164" s="5"/>
      <c r="M164" s="5"/>
    </row>
    <row r="165" spans="1:15" ht="21.75" customHeight="1" x14ac:dyDescent="0.3">
      <c r="A165" s="5" t="s">
        <v>122</v>
      </c>
      <c r="B165" s="5"/>
      <c r="C165" s="5"/>
      <c r="D165" s="5">
        <v>1</v>
      </c>
      <c r="E165" s="5" t="s">
        <v>20</v>
      </c>
      <c r="F165" s="5" t="s">
        <v>103</v>
      </c>
      <c r="G165" s="197">
        <v>1</v>
      </c>
      <c r="H165" s="13" t="s">
        <v>5</v>
      </c>
      <c r="I165" s="2">
        <f>D165*G165</f>
        <v>1</v>
      </c>
      <c r="J165" s="5" t="s">
        <v>21</v>
      </c>
      <c r="K165" s="5"/>
      <c r="L165" s="5"/>
      <c r="M165" s="5"/>
    </row>
    <row r="166" spans="1:15" ht="21.75" customHeight="1" x14ac:dyDescent="0.3">
      <c r="A166" s="5" t="s">
        <v>123</v>
      </c>
      <c r="B166" s="5"/>
      <c r="C166" s="5"/>
      <c r="D166" s="5"/>
      <c r="E166" s="5"/>
      <c r="F166" s="5"/>
      <c r="G166" s="5"/>
      <c r="H166" s="13" t="s">
        <v>5</v>
      </c>
      <c r="I166" s="2">
        <f>SUM(I163:I165)</f>
        <v>362.74666666666667</v>
      </c>
      <c r="J166" s="5" t="s">
        <v>21</v>
      </c>
      <c r="K166" s="5"/>
      <c r="L166" s="5"/>
      <c r="M166" s="5"/>
    </row>
    <row r="167" spans="1:15" ht="21.75" customHeight="1" thickBot="1" x14ac:dyDescent="0.35">
      <c r="A167" s="5" t="s">
        <v>124</v>
      </c>
      <c r="B167" s="5"/>
      <c r="C167" s="5"/>
      <c r="D167" s="5"/>
      <c r="E167" s="5"/>
      <c r="F167" s="5"/>
      <c r="G167" s="5"/>
      <c r="H167" s="13" t="s">
        <v>5</v>
      </c>
      <c r="I167" s="205">
        <f>FLOOR(I166,1)</f>
        <v>362</v>
      </c>
      <c r="J167" s="5" t="s">
        <v>21</v>
      </c>
      <c r="K167" s="5"/>
      <c r="L167" s="5"/>
      <c r="M167" s="5"/>
    </row>
    <row r="168" spans="1:15" ht="21.75" customHeight="1" thickTop="1" x14ac:dyDescent="0.3">
      <c r="A168" s="5"/>
      <c r="B168" s="5"/>
      <c r="C168" s="5"/>
      <c r="D168" s="5"/>
      <c r="E168" s="5"/>
      <c r="F168" s="5"/>
      <c r="G168" s="74"/>
      <c r="H168" s="13"/>
      <c r="I168" s="2"/>
      <c r="J168" s="5"/>
      <c r="K168" s="5"/>
      <c r="L168" s="4"/>
      <c r="M168" s="5"/>
      <c r="O168" s="1"/>
    </row>
    <row r="169" spans="1:15" ht="21.75" customHeight="1" x14ac:dyDescent="0.3">
      <c r="A169" s="5"/>
      <c r="B169" s="5"/>
      <c r="C169" s="5"/>
      <c r="D169" s="5"/>
      <c r="E169" s="5"/>
      <c r="F169" s="5"/>
      <c r="G169" s="74"/>
      <c r="H169" s="13"/>
      <c r="I169" s="2"/>
      <c r="J169" s="5"/>
      <c r="K169" s="5"/>
      <c r="L169" s="4"/>
      <c r="M169" s="5"/>
      <c r="O169" s="1"/>
    </row>
    <row r="170" spans="1:15" ht="21.75" customHeight="1" x14ac:dyDescent="0.3">
      <c r="A170" s="35" t="s">
        <v>227</v>
      </c>
      <c r="I170" s="265"/>
      <c r="L170" s="3"/>
      <c r="M170" s="5"/>
      <c r="O170" s="1"/>
    </row>
    <row r="171" spans="1:15" ht="21.75" customHeight="1" x14ac:dyDescent="0.3">
      <c r="A171" s="1" t="s">
        <v>146</v>
      </c>
      <c r="I171" s="265"/>
      <c r="L171" s="3"/>
      <c r="M171" s="5"/>
      <c r="O171" s="1"/>
    </row>
    <row r="172" spans="1:15" ht="21.75" customHeight="1" x14ac:dyDescent="0.3">
      <c r="A172" s="1" t="s">
        <v>126</v>
      </c>
      <c r="D172" s="203">
        <v>0.52</v>
      </c>
      <c r="E172" s="1" t="s">
        <v>101</v>
      </c>
      <c r="F172" s="202">
        <v>2075</v>
      </c>
      <c r="H172" s="13" t="s">
        <v>5</v>
      </c>
      <c r="I172" s="2">
        <f t="shared" ref="I172:I179" si="0">D172*F172</f>
        <v>1079</v>
      </c>
      <c r="J172" s="5" t="s">
        <v>111</v>
      </c>
      <c r="L172" s="3"/>
      <c r="M172" s="5"/>
      <c r="O172" s="1"/>
    </row>
    <row r="173" spans="1:15" ht="21.75" customHeight="1" x14ac:dyDescent="0.3">
      <c r="A173" s="1" t="s">
        <v>127</v>
      </c>
      <c r="D173" s="204">
        <v>30</v>
      </c>
      <c r="E173" s="1" t="s">
        <v>112</v>
      </c>
      <c r="F173" s="201">
        <v>21.4</v>
      </c>
      <c r="G173" s="1" t="s">
        <v>113</v>
      </c>
      <c r="H173" s="13" t="s">
        <v>5</v>
      </c>
      <c r="I173" s="2">
        <f t="shared" si="0"/>
        <v>642</v>
      </c>
      <c r="J173" s="5" t="s">
        <v>111</v>
      </c>
      <c r="L173" s="3"/>
      <c r="M173" s="5"/>
      <c r="O173" s="1"/>
    </row>
    <row r="174" spans="1:15" ht="21.75" customHeight="1" x14ac:dyDescent="0.3">
      <c r="A174" s="1" t="s">
        <v>128</v>
      </c>
      <c r="D174" s="204">
        <v>1</v>
      </c>
      <c r="E174" s="1" t="s">
        <v>112</v>
      </c>
      <c r="F174" s="201">
        <v>38.32</v>
      </c>
      <c r="H174" s="13" t="s">
        <v>5</v>
      </c>
      <c r="I174" s="2">
        <f t="shared" si="0"/>
        <v>38.32</v>
      </c>
      <c r="J174" s="5" t="s">
        <v>111</v>
      </c>
      <c r="L174" s="3"/>
      <c r="M174" s="5"/>
      <c r="O174" s="1"/>
    </row>
    <row r="175" spans="1:15" ht="21.75" customHeight="1" x14ac:dyDescent="0.3">
      <c r="A175" s="1" t="s">
        <v>129</v>
      </c>
      <c r="D175" s="204">
        <v>6</v>
      </c>
      <c r="E175" s="1" t="s">
        <v>125</v>
      </c>
      <c r="F175" s="201">
        <v>362</v>
      </c>
      <c r="H175" s="13" t="s">
        <v>5</v>
      </c>
      <c r="I175" s="2">
        <f t="shared" si="0"/>
        <v>2172</v>
      </c>
      <c r="J175" s="5" t="s">
        <v>111</v>
      </c>
      <c r="L175" s="3"/>
      <c r="M175" s="5"/>
      <c r="O175" s="1"/>
    </row>
    <row r="176" spans="1:15" ht="21.75" customHeight="1" x14ac:dyDescent="0.3">
      <c r="A176" s="1" t="s">
        <v>130</v>
      </c>
      <c r="D176" s="204">
        <v>1.65</v>
      </c>
      <c r="E176" s="1" t="s">
        <v>101</v>
      </c>
      <c r="F176" s="201">
        <v>23.92</v>
      </c>
      <c r="H176" s="13" t="s">
        <v>5</v>
      </c>
      <c r="I176" s="2">
        <f t="shared" si="0"/>
        <v>39.468000000000004</v>
      </c>
      <c r="J176" s="5" t="s">
        <v>111</v>
      </c>
      <c r="L176" s="3"/>
      <c r="M176" s="5"/>
      <c r="O176" s="1"/>
    </row>
    <row r="177" spans="1:15" ht="21.75" customHeight="1" x14ac:dyDescent="0.3">
      <c r="A177" s="1" t="s">
        <v>145</v>
      </c>
      <c r="D177" s="204">
        <v>3.4</v>
      </c>
      <c r="E177" s="1" t="s">
        <v>131</v>
      </c>
      <c r="F177" s="201">
        <v>81</v>
      </c>
      <c r="H177" s="13" t="s">
        <v>5</v>
      </c>
      <c r="I177" s="2">
        <f t="shared" si="0"/>
        <v>275.39999999999998</v>
      </c>
      <c r="J177" s="5" t="s">
        <v>111</v>
      </c>
      <c r="L177" s="3"/>
      <c r="M177" s="5"/>
      <c r="O177" s="1"/>
    </row>
    <row r="178" spans="1:15" ht="21.75" customHeight="1" x14ac:dyDescent="0.3">
      <c r="A178" s="1" t="s">
        <v>132</v>
      </c>
      <c r="D178" s="203">
        <v>0.21</v>
      </c>
      <c r="E178" s="1" t="s">
        <v>101</v>
      </c>
      <c r="F178" s="202">
        <v>1977</v>
      </c>
      <c r="H178" s="13" t="s">
        <v>5</v>
      </c>
      <c r="I178" s="2">
        <f t="shared" si="0"/>
        <v>415.16999999999996</v>
      </c>
      <c r="J178" s="5" t="s">
        <v>111</v>
      </c>
      <c r="L178" s="3"/>
      <c r="M178" s="5"/>
      <c r="O178" s="1"/>
    </row>
    <row r="179" spans="1:15" ht="21.75" customHeight="1" x14ac:dyDescent="0.3">
      <c r="A179" s="1" t="s">
        <v>133</v>
      </c>
      <c r="D179" s="203">
        <v>0.31</v>
      </c>
      <c r="E179" s="1" t="s">
        <v>101</v>
      </c>
      <c r="F179" s="202">
        <v>498</v>
      </c>
      <c r="H179" s="13" t="s">
        <v>5</v>
      </c>
      <c r="I179" s="2">
        <f t="shared" si="0"/>
        <v>154.38</v>
      </c>
      <c r="J179" s="5" t="s">
        <v>111</v>
      </c>
      <c r="L179" s="3"/>
      <c r="M179" s="5"/>
      <c r="O179" s="1"/>
    </row>
    <row r="180" spans="1:15" ht="21.75" customHeight="1" x14ac:dyDescent="0.3">
      <c r="A180" s="5"/>
      <c r="B180" s="5"/>
      <c r="C180" s="5"/>
      <c r="D180" s="5" t="s">
        <v>138</v>
      </c>
      <c r="E180" s="5"/>
      <c r="F180" s="5"/>
      <c r="G180" s="5"/>
      <c r="H180" s="13" t="s">
        <v>5</v>
      </c>
      <c r="I180" s="2">
        <f>SUM(I172:I179)</f>
        <v>4815.7379999999994</v>
      </c>
      <c r="J180" s="5" t="s">
        <v>111</v>
      </c>
      <c r="K180" s="5"/>
      <c r="L180" s="5"/>
      <c r="M180" s="5"/>
    </row>
    <row r="181" spans="1:15" ht="21.75" customHeight="1" x14ac:dyDescent="0.3">
      <c r="A181" s="1" t="s">
        <v>134</v>
      </c>
      <c r="I181" s="265"/>
      <c r="L181" s="3"/>
      <c r="M181" s="5"/>
      <c r="O181" s="1"/>
    </row>
    <row r="182" spans="1:15" ht="21.75" customHeight="1" x14ac:dyDescent="0.3">
      <c r="A182" s="1" t="s">
        <v>143</v>
      </c>
      <c r="F182" s="12" t="s">
        <v>140</v>
      </c>
      <c r="G182" s="12" t="s">
        <v>141</v>
      </c>
      <c r="I182" s="265"/>
      <c r="L182" s="3"/>
      <c r="M182" s="5"/>
      <c r="O182" s="1"/>
    </row>
    <row r="183" spans="1:15" ht="21.75" customHeight="1" x14ac:dyDescent="0.3">
      <c r="A183" s="1" t="s">
        <v>135</v>
      </c>
      <c r="D183" s="203">
        <v>32.5</v>
      </c>
      <c r="E183" s="1" t="s">
        <v>112</v>
      </c>
      <c r="F183" s="202">
        <v>23</v>
      </c>
      <c r="G183" s="201">
        <v>10</v>
      </c>
      <c r="H183" s="13" t="s">
        <v>5</v>
      </c>
      <c r="I183" s="2">
        <f>D183*(F183+G183)</f>
        <v>1072.5</v>
      </c>
      <c r="J183" s="5" t="s">
        <v>111</v>
      </c>
      <c r="L183" s="3"/>
      <c r="M183" s="5"/>
      <c r="O183" s="1"/>
    </row>
    <row r="184" spans="1:15" ht="21.75" customHeight="1" x14ac:dyDescent="0.3">
      <c r="A184" s="1" t="s">
        <v>136</v>
      </c>
      <c r="D184" s="204">
        <v>43.4</v>
      </c>
      <c r="E184" s="1" t="s">
        <v>112</v>
      </c>
      <c r="F184" s="201">
        <v>23</v>
      </c>
      <c r="G184" s="201">
        <v>10</v>
      </c>
      <c r="H184" s="13" t="s">
        <v>5</v>
      </c>
      <c r="I184" s="2">
        <f>D184*(F184+G184)</f>
        <v>1432.2</v>
      </c>
      <c r="J184" s="5" t="s">
        <v>111</v>
      </c>
      <c r="L184" s="3"/>
      <c r="M184" s="5"/>
      <c r="O184" s="1"/>
    </row>
    <row r="185" spans="1:15" ht="21.75" customHeight="1" x14ac:dyDescent="0.3">
      <c r="A185" s="1" t="s">
        <v>137</v>
      </c>
      <c r="D185" s="204">
        <v>2.7</v>
      </c>
      <c r="E185" s="1" t="s">
        <v>125</v>
      </c>
      <c r="F185" s="201">
        <v>35</v>
      </c>
      <c r="G185" s="201">
        <v>35</v>
      </c>
      <c r="H185" s="13" t="s">
        <v>5</v>
      </c>
      <c r="I185" s="2">
        <f>D185*(F185+G185)</f>
        <v>189</v>
      </c>
      <c r="J185" s="5" t="s">
        <v>111</v>
      </c>
      <c r="L185" s="3"/>
      <c r="M185" s="5"/>
      <c r="O185" s="1"/>
    </row>
    <row r="186" spans="1:15" ht="21.75" customHeight="1" x14ac:dyDescent="0.3">
      <c r="A186" s="5"/>
      <c r="B186" s="5"/>
      <c r="C186" s="5"/>
      <c r="D186" s="5" t="s">
        <v>138</v>
      </c>
      <c r="E186" s="5"/>
      <c r="F186" s="5"/>
      <c r="G186" s="5"/>
      <c r="H186" s="13" t="s">
        <v>5</v>
      </c>
      <c r="I186" s="2">
        <f>SUM(I183:I185)</f>
        <v>2693.7</v>
      </c>
      <c r="J186" s="5" t="s">
        <v>111</v>
      </c>
      <c r="K186" s="5"/>
      <c r="L186" s="5"/>
      <c r="M186" s="5"/>
    </row>
    <row r="187" spans="1:15" ht="21.75" customHeight="1" x14ac:dyDescent="0.3">
      <c r="D187" s="5"/>
      <c r="H187" s="13"/>
      <c r="I187" s="2"/>
      <c r="J187" s="5"/>
      <c r="L187" s="3"/>
      <c r="M187" s="5"/>
      <c r="O187" s="1"/>
    </row>
    <row r="188" spans="1:15" ht="21.75" customHeight="1" x14ac:dyDescent="0.3">
      <c r="D188" s="5" t="s">
        <v>142</v>
      </c>
      <c r="H188" s="13" t="s">
        <v>5</v>
      </c>
      <c r="I188" s="206">
        <f>I180+I186</f>
        <v>7509.4379999999992</v>
      </c>
      <c r="J188" s="5" t="s">
        <v>111</v>
      </c>
      <c r="L188" s="3"/>
      <c r="M188" s="5"/>
      <c r="O188" s="1"/>
    </row>
    <row r="189" spans="1:15" ht="21.75" customHeight="1" thickBot="1" x14ac:dyDescent="0.35">
      <c r="H189" s="13" t="s">
        <v>5</v>
      </c>
      <c r="I189" s="266">
        <f>FLOOR(I188,1)</f>
        <v>7509</v>
      </c>
      <c r="J189" s="5" t="s">
        <v>144</v>
      </c>
      <c r="L189" s="3"/>
      <c r="M189" s="5"/>
      <c r="O189" s="1"/>
    </row>
    <row r="190" spans="1:15" ht="21.75" customHeight="1" thickTop="1" x14ac:dyDescent="0.3">
      <c r="I190" s="265"/>
      <c r="L190" s="3"/>
      <c r="M190" s="5"/>
      <c r="O190" s="1"/>
    </row>
    <row r="191" spans="1:15" ht="21.75" customHeight="1" x14ac:dyDescent="0.3">
      <c r="I191" s="265"/>
      <c r="L191" s="3"/>
      <c r="M191" s="5"/>
      <c r="O191" s="1"/>
    </row>
    <row r="192" spans="1:15" ht="21.75" customHeight="1" x14ac:dyDescent="0.3">
      <c r="I192" s="265"/>
      <c r="L192" s="3"/>
      <c r="M192" s="5"/>
      <c r="O192" s="1"/>
    </row>
    <row r="193" spans="1:15" ht="18.75" customHeight="1" x14ac:dyDescent="0.3">
      <c r="A193" s="8" t="s">
        <v>318</v>
      </c>
      <c r="B193" s="5"/>
      <c r="C193" s="5"/>
      <c r="D193" s="5"/>
      <c r="E193" s="5"/>
      <c r="F193" s="5"/>
      <c r="G193" s="5"/>
      <c r="H193" s="13"/>
      <c r="I193" s="4"/>
      <c r="J193" s="5"/>
      <c r="K193" s="5"/>
      <c r="L193" s="4"/>
      <c r="M193" s="5"/>
      <c r="O193" s="1"/>
    </row>
    <row r="194" spans="1:15" ht="18.75" customHeight="1" x14ac:dyDescent="0.3">
      <c r="A194" s="269" t="s">
        <v>319</v>
      </c>
      <c r="F194" s="270"/>
      <c r="G194" s="270"/>
      <c r="H194" s="14"/>
      <c r="I194" s="4"/>
      <c r="J194" s="271"/>
      <c r="K194" s="271"/>
      <c r="L194" s="272"/>
      <c r="M194" s="5"/>
      <c r="O194" s="1"/>
    </row>
    <row r="195" spans="1:15" s="273" customFormat="1" ht="21.75" customHeight="1" x14ac:dyDescent="0.3">
      <c r="A195" s="268" t="s">
        <v>310</v>
      </c>
      <c r="D195" s="274"/>
      <c r="F195" s="275"/>
      <c r="G195" s="276"/>
      <c r="H195" s="277"/>
      <c r="I195" s="278"/>
      <c r="J195" s="279"/>
      <c r="K195" s="279"/>
      <c r="L195" s="280"/>
      <c r="M195" s="281"/>
      <c r="N195" s="281"/>
    </row>
    <row r="196" spans="1:15" s="273" customFormat="1" ht="18.75" customHeight="1" x14ac:dyDescent="0.3">
      <c r="A196" s="268" t="s">
        <v>284</v>
      </c>
      <c r="D196" s="274"/>
      <c r="E196" s="282" t="s">
        <v>5</v>
      </c>
      <c r="F196" s="275">
        <v>40000</v>
      </c>
      <c r="G196" s="276" t="s">
        <v>285</v>
      </c>
      <c r="H196" s="283" t="s">
        <v>258</v>
      </c>
      <c r="I196" s="278">
        <f>F196/1000</f>
        <v>40</v>
      </c>
      <c r="J196" s="279" t="s">
        <v>286</v>
      </c>
      <c r="K196" s="279"/>
      <c r="L196" s="280"/>
      <c r="M196" s="281"/>
      <c r="N196" s="281"/>
    </row>
    <row r="197" spans="1:15" s="273" customFormat="1" ht="18.75" customHeight="1" x14ac:dyDescent="0.3">
      <c r="A197" s="268" t="s">
        <v>287</v>
      </c>
      <c r="C197" s="282"/>
      <c r="D197" s="274"/>
      <c r="E197" s="282" t="s">
        <v>5</v>
      </c>
      <c r="F197" s="284">
        <v>335</v>
      </c>
      <c r="G197" s="268" t="s">
        <v>285</v>
      </c>
      <c r="H197" s="283" t="s">
        <v>258</v>
      </c>
      <c r="I197" s="278">
        <f>F197/1000</f>
        <v>0.33500000000000002</v>
      </c>
      <c r="J197" s="279" t="s">
        <v>286</v>
      </c>
      <c r="K197" s="279"/>
      <c r="L197" s="280"/>
      <c r="M197" s="281"/>
      <c r="N197" s="281"/>
    </row>
    <row r="198" spans="1:15" s="273" customFormat="1" ht="18.75" customHeight="1" x14ac:dyDescent="0.3">
      <c r="A198" s="268" t="s">
        <v>288</v>
      </c>
      <c r="D198" s="274"/>
      <c r="E198" s="282" t="s">
        <v>5</v>
      </c>
      <c r="F198" s="285">
        <v>80</v>
      </c>
      <c r="G198" s="268" t="s">
        <v>285</v>
      </c>
      <c r="H198" s="283" t="s">
        <v>258</v>
      </c>
      <c r="I198" s="278">
        <f>F198/1000</f>
        <v>0.08</v>
      </c>
      <c r="J198" s="279" t="s">
        <v>286</v>
      </c>
      <c r="K198" s="279"/>
      <c r="L198" s="280"/>
      <c r="M198" s="281"/>
      <c r="N198" s="281"/>
    </row>
    <row r="199" spans="1:15" s="273" customFormat="1" ht="18.75" customHeight="1" x14ac:dyDescent="0.3">
      <c r="A199" s="268"/>
      <c r="D199" s="274"/>
      <c r="F199" s="286"/>
      <c r="G199" s="287" t="s">
        <v>261</v>
      </c>
      <c r="H199" s="283" t="s">
        <v>258</v>
      </c>
      <c r="I199" s="278">
        <f>SUM(I196:I198)</f>
        <v>40.414999999999999</v>
      </c>
      <c r="J199" s="279" t="s">
        <v>286</v>
      </c>
      <c r="K199" s="279"/>
      <c r="L199" s="280"/>
      <c r="M199" s="281"/>
      <c r="N199" s="281"/>
    </row>
    <row r="200" spans="1:15" s="273" customFormat="1" ht="18.75" customHeight="1" x14ac:dyDescent="0.3">
      <c r="A200" s="268" t="s">
        <v>289</v>
      </c>
      <c r="E200" s="274">
        <v>5</v>
      </c>
      <c r="F200" s="268" t="str">
        <f>"kg. @ "&amp;TEXT(I199,"00.00")</f>
        <v>kg. @ 40.42</v>
      </c>
      <c r="G200" s="268" t="s">
        <v>13</v>
      </c>
      <c r="H200" s="283" t="s">
        <v>258</v>
      </c>
      <c r="I200" s="288">
        <f>E200*I199</f>
        <v>202.07499999999999</v>
      </c>
      <c r="J200" s="279" t="s">
        <v>286</v>
      </c>
      <c r="K200" s="279"/>
      <c r="L200" s="280"/>
      <c r="M200" s="281"/>
      <c r="N200" s="281"/>
    </row>
    <row r="201" spans="1:15" s="273" customFormat="1" ht="21.75" customHeight="1" x14ac:dyDescent="0.3">
      <c r="A201" s="268"/>
      <c r="F201" s="289"/>
      <c r="G201" s="287" t="s">
        <v>264</v>
      </c>
      <c r="H201" s="283" t="s">
        <v>258</v>
      </c>
      <c r="I201" s="290">
        <f>I200</f>
        <v>202.07499999999999</v>
      </c>
      <c r="J201" s="279" t="s">
        <v>311</v>
      </c>
      <c r="K201" s="279"/>
      <c r="L201" s="280"/>
      <c r="M201" s="281"/>
      <c r="N201" s="281"/>
    </row>
    <row r="202" spans="1:15" s="273" customFormat="1" ht="21.75" customHeight="1" x14ac:dyDescent="0.3">
      <c r="A202" s="268"/>
      <c r="F202" s="289"/>
      <c r="G202" s="287"/>
      <c r="H202" s="283"/>
      <c r="I202" s="288"/>
      <c r="J202" s="279"/>
      <c r="K202" s="279"/>
      <c r="L202" s="280"/>
      <c r="M202" s="281"/>
      <c r="N202" s="281"/>
    </row>
    <row r="203" spans="1:15" s="273" customFormat="1" ht="18.75" customHeight="1" x14ac:dyDescent="0.3">
      <c r="A203" s="268" t="s">
        <v>290</v>
      </c>
      <c r="E203" s="282" t="s">
        <v>5</v>
      </c>
      <c r="F203" s="275">
        <v>36000</v>
      </c>
      <c r="G203" s="276" t="s">
        <v>285</v>
      </c>
      <c r="H203" s="283" t="s">
        <v>258</v>
      </c>
      <c r="I203" s="278">
        <f>F203/1000</f>
        <v>36</v>
      </c>
      <c r="J203" s="279" t="s">
        <v>286</v>
      </c>
      <c r="K203" s="279"/>
      <c r="L203" s="280"/>
      <c r="M203" s="281"/>
      <c r="N203" s="281"/>
    </row>
    <row r="204" spans="1:15" s="273" customFormat="1" ht="18.75" customHeight="1" x14ac:dyDescent="0.3">
      <c r="A204" s="268" t="s">
        <v>287</v>
      </c>
      <c r="E204" s="282" t="s">
        <v>5</v>
      </c>
      <c r="F204" s="284">
        <f>F197</f>
        <v>335</v>
      </c>
      <c r="G204" s="268" t="s">
        <v>285</v>
      </c>
      <c r="H204" s="283" t="s">
        <v>258</v>
      </c>
      <c r="I204" s="278">
        <f>F204/1000</f>
        <v>0.33500000000000002</v>
      </c>
      <c r="J204" s="279" t="s">
        <v>286</v>
      </c>
      <c r="K204" s="279"/>
      <c r="L204" s="280"/>
      <c r="M204" s="281"/>
      <c r="N204" s="281"/>
    </row>
    <row r="205" spans="1:15" s="273" customFormat="1" ht="18.75" customHeight="1" x14ac:dyDescent="0.3">
      <c r="A205" s="268" t="s">
        <v>288</v>
      </c>
      <c r="E205" s="282" t="s">
        <v>5</v>
      </c>
      <c r="F205" s="285">
        <f>F197</f>
        <v>335</v>
      </c>
      <c r="G205" s="268" t="s">
        <v>285</v>
      </c>
      <c r="H205" s="283" t="s">
        <v>258</v>
      </c>
      <c r="I205" s="278">
        <f>F205/1000</f>
        <v>0.33500000000000002</v>
      </c>
      <c r="J205" s="279" t="s">
        <v>286</v>
      </c>
      <c r="K205" s="279"/>
      <c r="L205" s="280"/>
      <c r="M205" s="281"/>
      <c r="N205" s="281"/>
    </row>
    <row r="206" spans="1:15" s="273" customFormat="1" ht="18.75" customHeight="1" x14ac:dyDescent="0.3">
      <c r="A206" s="268"/>
      <c r="F206" s="286"/>
      <c r="G206" s="287" t="s">
        <v>261</v>
      </c>
      <c r="H206" s="283" t="s">
        <v>258</v>
      </c>
      <c r="I206" s="278">
        <f>SUM(I203:I205)</f>
        <v>36.67</v>
      </c>
      <c r="J206" s="279" t="s">
        <v>286</v>
      </c>
      <c r="K206" s="279"/>
      <c r="L206" s="280"/>
      <c r="M206" s="281"/>
      <c r="N206" s="281"/>
    </row>
    <row r="207" spans="1:15" s="273" customFormat="1" ht="18.75" customHeight="1" x14ac:dyDescent="0.3">
      <c r="A207" s="268" t="s">
        <v>291</v>
      </c>
      <c r="E207" s="274">
        <v>0.9</v>
      </c>
      <c r="F207" s="268" t="str">
        <f>"kg. @ "&amp;TEXT(I206,"00.00")</f>
        <v>kg. @ 36.67</v>
      </c>
      <c r="G207" s="268" t="s">
        <v>13</v>
      </c>
      <c r="H207" s="283" t="s">
        <v>258</v>
      </c>
      <c r="I207" s="288">
        <f>E207*I206</f>
        <v>33.003</v>
      </c>
      <c r="J207" s="279" t="s">
        <v>286</v>
      </c>
      <c r="K207" s="279"/>
      <c r="L207" s="280"/>
      <c r="M207" s="281"/>
      <c r="N207" s="281"/>
    </row>
    <row r="208" spans="1:15" s="273" customFormat="1" ht="21.75" customHeight="1" x14ac:dyDescent="0.3">
      <c r="A208" s="268"/>
      <c r="F208" s="289"/>
      <c r="G208" s="287" t="s">
        <v>264</v>
      </c>
      <c r="H208" s="283" t="s">
        <v>258</v>
      </c>
      <c r="I208" s="290">
        <f>I207</f>
        <v>33.003</v>
      </c>
      <c r="J208" s="279" t="s">
        <v>311</v>
      </c>
      <c r="K208" s="279"/>
      <c r="L208" s="280"/>
      <c r="M208" s="281"/>
      <c r="N208" s="281"/>
    </row>
    <row r="209" spans="1:14" s="273" customFormat="1" ht="21.75" customHeight="1" x14ac:dyDescent="0.3">
      <c r="A209" s="268"/>
      <c r="F209" s="289"/>
      <c r="G209" s="287"/>
      <c r="H209" s="283"/>
      <c r="I209" s="288"/>
      <c r="J209" s="279"/>
      <c r="K209" s="279"/>
      <c r="L209" s="280"/>
      <c r="M209" s="281"/>
      <c r="N209" s="281"/>
    </row>
    <row r="210" spans="1:14" s="273" customFormat="1" ht="21.75" customHeight="1" x14ac:dyDescent="0.3">
      <c r="A210" s="268" t="s">
        <v>292</v>
      </c>
      <c r="E210" s="282" t="s">
        <v>5</v>
      </c>
      <c r="F210" s="274">
        <v>1980</v>
      </c>
      <c r="G210" s="268" t="s">
        <v>293</v>
      </c>
      <c r="H210" s="283" t="s">
        <v>258</v>
      </c>
      <c r="I210" s="291">
        <v>50</v>
      </c>
      <c r="J210" s="279" t="s">
        <v>312</v>
      </c>
      <c r="K210" s="279"/>
      <c r="L210" s="280"/>
      <c r="M210" s="281"/>
      <c r="N210" s="281"/>
    </row>
    <row r="211" spans="1:14" s="273" customFormat="1" ht="22.5" customHeight="1" x14ac:dyDescent="0.3">
      <c r="A211" s="268" t="s">
        <v>294</v>
      </c>
      <c r="E211" s="282" t="s">
        <v>5</v>
      </c>
      <c r="F211" s="287" t="str">
        <f>TEXT(F210,"0,000.00")&amp;"/"&amp;TEXT(I210,"00")</f>
        <v>1,980.00/50</v>
      </c>
      <c r="G211" s="287" t="s">
        <v>264</v>
      </c>
      <c r="H211" s="283" t="s">
        <v>258</v>
      </c>
      <c r="I211" s="290">
        <f>F210/I210</f>
        <v>39.6</v>
      </c>
      <c r="J211" s="279" t="s">
        <v>311</v>
      </c>
      <c r="K211" s="279"/>
      <c r="L211" s="280"/>
      <c r="M211" s="281"/>
      <c r="N211" s="281"/>
    </row>
    <row r="212" spans="1:14" s="273" customFormat="1" ht="22.5" customHeight="1" x14ac:dyDescent="0.3">
      <c r="A212" s="268"/>
      <c r="E212" s="282"/>
      <c r="F212" s="287"/>
      <c r="G212" s="287"/>
      <c r="H212" s="283"/>
      <c r="I212" s="288"/>
      <c r="J212" s="279"/>
      <c r="K212" s="279"/>
      <c r="L212" s="280"/>
      <c r="M212" s="281"/>
      <c r="N212" s="281"/>
    </row>
    <row r="213" spans="1:14" s="273" customFormat="1" ht="18.75" customHeight="1" x14ac:dyDescent="0.3">
      <c r="A213" s="281" t="s">
        <v>295</v>
      </c>
      <c r="B213" s="281"/>
      <c r="C213" s="281"/>
      <c r="D213" s="281"/>
      <c r="E213" s="281"/>
      <c r="F213" s="281"/>
      <c r="G213" s="281"/>
      <c r="H213" s="283"/>
      <c r="I213" s="292"/>
      <c r="J213" s="281"/>
      <c r="K213" s="281"/>
      <c r="L213" s="292"/>
      <c r="M213" s="281"/>
      <c r="N213" s="281"/>
    </row>
    <row r="214" spans="1:14" s="273" customFormat="1" ht="18.75" customHeight="1" x14ac:dyDescent="0.3">
      <c r="A214" s="268"/>
      <c r="B214" s="282" t="s">
        <v>296</v>
      </c>
      <c r="C214" s="273" t="s">
        <v>297</v>
      </c>
      <c r="F214" s="268"/>
      <c r="G214" s="268"/>
      <c r="H214" s="277"/>
      <c r="I214" s="293"/>
      <c r="J214" s="279"/>
      <c r="K214" s="279"/>
      <c r="L214" s="280"/>
      <c r="M214" s="281"/>
      <c r="N214" s="281"/>
    </row>
    <row r="215" spans="1:14" s="273" customFormat="1" ht="18.75" customHeight="1" x14ac:dyDescent="0.3">
      <c r="A215" s="268"/>
      <c r="B215" s="282" t="s">
        <v>298</v>
      </c>
      <c r="C215" s="273" t="s">
        <v>299</v>
      </c>
      <c r="F215" s="268"/>
      <c r="G215" s="268"/>
      <c r="H215" s="277"/>
      <c r="I215" s="293"/>
      <c r="J215" s="279"/>
      <c r="K215" s="279"/>
      <c r="L215" s="280"/>
      <c r="M215" s="281"/>
      <c r="N215" s="281"/>
    </row>
    <row r="216" spans="1:14" s="273" customFormat="1" ht="18.75" customHeight="1" x14ac:dyDescent="0.3">
      <c r="A216" s="268"/>
      <c r="B216" s="282"/>
      <c r="F216" s="268"/>
      <c r="G216" s="268"/>
      <c r="H216" s="277"/>
      <c r="I216" s="293"/>
      <c r="J216" s="279"/>
      <c r="K216" s="279"/>
      <c r="L216" s="280"/>
      <c r="M216" s="281"/>
      <c r="N216" s="281"/>
    </row>
    <row r="217" spans="1:14" s="273" customFormat="1" ht="21.75" customHeight="1" x14ac:dyDescent="0.3">
      <c r="A217" s="268" t="s">
        <v>313</v>
      </c>
      <c r="F217" s="268"/>
      <c r="G217" s="268"/>
      <c r="H217" s="277"/>
      <c r="I217" s="279"/>
      <c r="J217" s="279"/>
      <c r="K217" s="279"/>
      <c r="L217" s="280"/>
      <c r="M217" s="281"/>
      <c r="N217" s="281"/>
    </row>
    <row r="218" spans="1:14" s="273" customFormat="1" ht="18.75" customHeight="1" x14ac:dyDescent="0.3">
      <c r="A218" s="268" t="s">
        <v>300</v>
      </c>
      <c r="F218" s="268"/>
      <c r="G218" s="268"/>
      <c r="H218" s="277"/>
      <c r="I218" s="279"/>
      <c r="J218" s="279"/>
      <c r="K218" s="279"/>
      <c r="L218" s="280"/>
      <c r="M218" s="281"/>
      <c r="N218" s="281"/>
    </row>
    <row r="219" spans="1:14" s="273" customFormat="1" ht="21" customHeight="1" x14ac:dyDescent="0.3">
      <c r="A219" s="268" t="s">
        <v>301</v>
      </c>
      <c r="D219" s="268" t="s">
        <v>256</v>
      </c>
      <c r="E219" s="268"/>
      <c r="F219" s="268"/>
      <c r="G219" s="268"/>
      <c r="H219" s="277"/>
      <c r="I219" s="293"/>
      <c r="J219" s="279"/>
      <c r="K219" s="279"/>
      <c r="L219" s="280"/>
      <c r="M219" s="281"/>
      <c r="N219" s="281"/>
    </row>
    <row r="220" spans="1:14" s="273" customFormat="1" ht="21" customHeight="1" x14ac:dyDescent="0.3">
      <c r="A220" s="268"/>
      <c r="D220" s="268" t="s">
        <v>302</v>
      </c>
      <c r="E220" s="268"/>
      <c r="F220" s="268"/>
      <c r="G220" s="268"/>
      <c r="H220" s="283" t="s">
        <v>258</v>
      </c>
      <c r="I220" s="274">
        <f>1500000/(150*5)</f>
        <v>2000</v>
      </c>
      <c r="J220" s="268" t="s">
        <v>259</v>
      </c>
      <c r="K220" s="268"/>
      <c r="L220" s="286"/>
      <c r="M220" s="281"/>
      <c r="N220" s="281"/>
    </row>
    <row r="221" spans="1:14" s="273" customFormat="1" ht="21" customHeight="1" x14ac:dyDescent="0.3">
      <c r="A221" s="268" t="s">
        <v>303</v>
      </c>
      <c r="D221" s="268" t="s">
        <v>304</v>
      </c>
      <c r="E221" s="268"/>
      <c r="F221" s="284">
        <f>C5</f>
        <v>17.61</v>
      </c>
      <c r="G221" s="287" t="s">
        <v>13</v>
      </c>
      <c r="H221" s="283" t="s">
        <v>258</v>
      </c>
      <c r="I221" s="274">
        <f>40*F221</f>
        <v>704.4</v>
      </c>
      <c r="J221" s="268" t="s">
        <v>259</v>
      </c>
      <c r="K221" s="268"/>
      <c r="L221" s="286"/>
      <c r="M221" s="281"/>
      <c r="N221" s="281"/>
    </row>
    <row r="222" spans="1:14" s="273" customFormat="1" ht="21" customHeight="1" x14ac:dyDescent="0.3">
      <c r="A222" s="268" t="s">
        <v>305</v>
      </c>
      <c r="D222" s="268" t="s">
        <v>306</v>
      </c>
      <c r="E222" s="268"/>
      <c r="F222" s="274">
        <v>275</v>
      </c>
      <c r="G222" s="294" t="s">
        <v>13</v>
      </c>
      <c r="H222" s="283" t="s">
        <v>258</v>
      </c>
      <c r="I222" s="274">
        <f>F222</f>
        <v>275</v>
      </c>
      <c r="J222" s="268" t="s">
        <v>259</v>
      </c>
      <c r="K222" s="268"/>
      <c r="L222" s="286"/>
      <c r="M222" s="281"/>
      <c r="N222" s="281"/>
    </row>
    <row r="223" spans="1:14" s="273" customFormat="1" ht="21" customHeight="1" x14ac:dyDescent="0.3">
      <c r="A223" s="268"/>
      <c r="D223" s="268"/>
      <c r="E223" s="268"/>
      <c r="F223" s="274"/>
      <c r="G223" s="294" t="s">
        <v>261</v>
      </c>
      <c r="H223" s="283" t="s">
        <v>258</v>
      </c>
      <c r="I223" s="295">
        <f>SUM(I220:I222)</f>
        <v>2979.4</v>
      </c>
      <c r="J223" s="279" t="s">
        <v>259</v>
      </c>
      <c r="K223" s="268"/>
      <c r="L223" s="286"/>
      <c r="M223" s="281"/>
      <c r="N223" s="281"/>
    </row>
    <row r="224" spans="1:14" s="273" customFormat="1" ht="18.75" customHeight="1" x14ac:dyDescent="0.3">
      <c r="A224" s="268" t="s">
        <v>307</v>
      </c>
      <c r="F224" s="268"/>
      <c r="G224" s="268"/>
      <c r="H224" s="277"/>
      <c r="I224" s="279"/>
      <c r="J224" s="279"/>
      <c r="K224" s="279"/>
      <c r="L224" s="280"/>
      <c r="M224" s="281"/>
      <c r="N224" s="281"/>
    </row>
    <row r="225" spans="1:15" s="273" customFormat="1" ht="18.75" customHeight="1" x14ac:dyDescent="0.3">
      <c r="A225" s="268" t="s">
        <v>301</v>
      </c>
      <c r="D225" s="268" t="s">
        <v>256</v>
      </c>
      <c r="E225" s="268"/>
      <c r="F225" s="268"/>
      <c r="G225" s="268"/>
      <c r="H225" s="283" t="s">
        <v>258</v>
      </c>
      <c r="I225" s="279"/>
      <c r="J225" s="279"/>
      <c r="K225" s="279"/>
      <c r="L225" s="280"/>
      <c r="M225" s="281"/>
      <c r="N225" s="281"/>
    </row>
    <row r="226" spans="1:15" s="273" customFormat="1" ht="18.75" customHeight="1" x14ac:dyDescent="0.3">
      <c r="A226" s="268"/>
      <c r="D226" s="268" t="s">
        <v>308</v>
      </c>
      <c r="E226" s="268"/>
      <c r="F226" s="268"/>
      <c r="G226" s="268"/>
      <c r="H226" s="283" t="s">
        <v>258</v>
      </c>
      <c r="I226" s="291">
        <f>650000/(150*5)</f>
        <v>866.66666666666663</v>
      </c>
      <c r="J226" s="279" t="s">
        <v>259</v>
      </c>
      <c r="K226" s="279"/>
      <c r="L226" s="280"/>
      <c r="M226" s="281"/>
      <c r="N226" s="281"/>
    </row>
    <row r="227" spans="1:15" s="273" customFormat="1" ht="18.75" customHeight="1" x14ac:dyDescent="0.3">
      <c r="A227" s="268" t="s">
        <v>303</v>
      </c>
      <c r="D227" s="268" t="s">
        <v>309</v>
      </c>
      <c r="E227" s="294"/>
      <c r="F227" s="284">
        <f>C5</f>
        <v>17.61</v>
      </c>
      <c r="G227" s="287" t="s">
        <v>13</v>
      </c>
      <c r="H227" s="283" t="s">
        <v>258</v>
      </c>
      <c r="I227" s="303">
        <f>F227*30</f>
        <v>528.29999999999995</v>
      </c>
      <c r="J227" s="279" t="s">
        <v>259</v>
      </c>
      <c r="K227" s="279"/>
      <c r="L227" s="280"/>
      <c r="M227" s="281"/>
      <c r="N227" s="281"/>
    </row>
    <row r="228" spans="1:15" s="273" customFormat="1" ht="18.75" customHeight="1" x14ac:dyDescent="0.3">
      <c r="A228" s="268"/>
      <c r="D228" s="268"/>
      <c r="E228" s="294"/>
      <c r="F228" s="274"/>
      <c r="G228" s="287"/>
      <c r="H228" s="283"/>
      <c r="I228" s="291"/>
      <c r="J228" s="279"/>
      <c r="K228" s="279"/>
      <c r="L228" s="280"/>
      <c r="M228" s="281"/>
      <c r="N228" s="281"/>
    </row>
    <row r="229" spans="1:15" s="273" customFormat="1" ht="18.75" customHeight="1" x14ac:dyDescent="0.3">
      <c r="A229" s="268"/>
      <c r="D229" s="268"/>
      <c r="E229" s="294"/>
      <c r="F229" s="274"/>
      <c r="G229" s="287"/>
      <c r="H229" s="283"/>
      <c r="I229" s="291"/>
      <c r="J229" s="279"/>
      <c r="K229" s="279"/>
      <c r="L229" s="280"/>
      <c r="M229" s="281"/>
      <c r="N229" s="281"/>
    </row>
    <row r="230" spans="1:15" s="273" customFormat="1" ht="18.75" customHeight="1" x14ac:dyDescent="0.3">
      <c r="A230" s="268"/>
      <c r="D230" s="268"/>
      <c r="E230" s="294"/>
      <c r="F230" s="274"/>
      <c r="G230" s="287"/>
      <c r="H230" s="283"/>
      <c r="I230" s="291"/>
      <c r="J230" s="279"/>
      <c r="K230" s="279"/>
      <c r="L230" s="280"/>
      <c r="M230" s="281"/>
      <c r="N230" s="281"/>
    </row>
    <row r="231" spans="1:15" s="273" customFormat="1" ht="18.75" customHeight="1" x14ac:dyDescent="0.3">
      <c r="A231" s="268"/>
      <c r="D231" s="268"/>
      <c r="E231" s="294"/>
      <c r="F231" s="274"/>
      <c r="G231" s="287"/>
      <c r="H231" s="283"/>
      <c r="I231" s="291"/>
      <c r="J231" s="279"/>
      <c r="K231" s="279"/>
      <c r="L231" s="280"/>
      <c r="M231" s="281"/>
      <c r="N231" s="281"/>
    </row>
    <row r="232" spans="1:15" s="273" customFormat="1" ht="18.75" customHeight="1" x14ac:dyDescent="0.3">
      <c r="A232" s="268"/>
      <c r="D232" s="268"/>
      <c r="E232" s="294"/>
      <c r="F232" s="274"/>
      <c r="G232" s="287"/>
      <c r="H232" s="283"/>
      <c r="I232" s="291"/>
      <c r="J232" s="279"/>
      <c r="K232" s="279"/>
      <c r="L232" s="280"/>
      <c r="M232" s="281"/>
      <c r="N232" s="281"/>
    </row>
    <row r="233" spans="1:15" s="273" customFormat="1" ht="19.5" customHeight="1" x14ac:dyDescent="0.3">
      <c r="A233" s="268" t="s">
        <v>254</v>
      </c>
      <c r="F233" s="268"/>
      <c r="G233" s="268"/>
      <c r="H233" s="277"/>
      <c r="I233" s="291"/>
      <c r="J233" s="279"/>
      <c r="K233" s="279"/>
      <c r="N233" s="281"/>
      <c r="O233" s="281"/>
    </row>
    <row r="234" spans="1:15" s="273" customFormat="1" ht="19.5" customHeight="1" x14ac:dyDescent="0.3">
      <c r="A234" s="268" t="s">
        <v>255</v>
      </c>
      <c r="D234" s="268" t="s">
        <v>256</v>
      </c>
      <c r="F234" s="268"/>
      <c r="G234" s="268"/>
      <c r="H234" s="277"/>
      <c r="I234" s="291"/>
      <c r="J234" s="279"/>
      <c r="K234" s="279"/>
      <c r="N234" s="281"/>
      <c r="O234" s="281"/>
    </row>
    <row r="235" spans="1:15" s="273" customFormat="1" ht="19.5" customHeight="1" x14ac:dyDescent="0.3">
      <c r="A235" s="268"/>
      <c r="D235" s="268" t="s">
        <v>257</v>
      </c>
      <c r="F235" s="268"/>
      <c r="G235" s="268"/>
      <c r="H235" s="283" t="s">
        <v>258</v>
      </c>
      <c r="I235" s="291">
        <f>170000/(150*5)</f>
        <v>226.66666666666666</v>
      </c>
      <c r="J235" s="279" t="s">
        <v>259</v>
      </c>
      <c r="K235" s="279"/>
      <c r="N235" s="281"/>
      <c r="O235" s="281"/>
    </row>
    <row r="236" spans="1:15" s="273" customFormat="1" ht="19.5" customHeight="1" x14ac:dyDescent="0.3">
      <c r="A236" s="268" t="s">
        <v>260</v>
      </c>
      <c r="D236" s="268" t="s">
        <v>282</v>
      </c>
      <c r="F236" s="274">
        <f>C5</f>
        <v>17.61</v>
      </c>
      <c r="G236" s="268" t="s">
        <v>13</v>
      </c>
      <c r="H236" s="283" t="s">
        <v>258</v>
      </c>
      <c r="I236" s="291">
        <f>F236*15</f>
        <v>264.14999999999998</v>
      </c>
      <c r="J236" s="279" t="s">
        <v>259</v>
      </c>
      <c r="K236" s="279"/>
      <c r="N236" s="281"/>
      <c r="O236" s="281"/>
    </row>
    <row r="237" spans="1:15" s="273" customFormat="1" ht="19.5" customHeight="1" x14ac:dyDescent="0.3">
      <c r="A237" s="268"/>
      <c r="F237" s="268"/>
      <c r="G237" s="294" t="s">
        <v>261</v>
      </c>
      <c r="H237" s="283" t="s">
        <v>258</v>
      </c>
      <c r="I237" s="295">
        <f>SUM(I235:I236)</f>
        <v>490.81666666666661</v>
      </c>
      <c r="J237" s="279" t="s">
        <v>259</v>
      </c>
      <c r="K237" s="279"/>
      <c r="N237" s="281"/>
      <c r="O237" s="281"/>
    </row>
    <row r="238" spans="1:15" s="273" customFormat="1" ht="19.5" customHeight="1" x14ac:dyDescent="0.3">
      <c r="A238" s="268"/>
      <c r="F238" s="268"/>
      <c r="G238" s="268"/>
      <c r="H238" s="277"/>
      <c r="I238" s="291"/>
      <c r="J238" s="279"/>
      <c r="K238" s="279"/>
      <c r="N238" s="281"/>
      <c r="O238" s="281"/>
    </row>
    <row r="239" spans="1:15" s="273" customFormat="1" ht="19.5" customHeight="1" x14ac:dyDescent="0.3">
      <c r="A239" s="268" t="s">
        <v>262</v>
      </c>
      <c r="D239" s="268" t="s">
        <v>314</v>
      </c>
      <c r="F239" s="268"/>
      <c r="G239" s="268"/>
      <c r="H239" s="277"/>
      <c r="I239" s="291"/>
      <c r="J239" s="279"/>
      <c r="K239" s="279"/>
      <c r="N239" s="281"/>
      <c r="O239" s="281"/>
    </row>
    <row r="240" spans="1:15" s="273" customFormat="1" ht="19.5" customHeight="1" x14ac:dyDescent="0.3">
      <c r="A240" s="268"/>
      <c r="D240" s="268" t="s">
        <v>263</v>
      </c>
      <c r="F240" s="268"/>
      <c r="G240" s="268"/>
      <c r="H240" s="283" t="s">
        <v>258</v>
      </c>
      <c r="I240" s="291">
        <f>38000/12000</f>
        <v>3.1666666666666665</v>
      </c>
      <c r="J240" s="279" t="s">
        <v>311</v>
      </c>
      <c r="K240" s="279"/>
      <c r="N240" s="281"/>
      <c r="O240" s="281"/>
    </row>
    <row r="241" spans="1:15" s="273" customFormat="1" ht="19.5" customHeight="1" x14ac:dyDescent="0.3">
      <c r="A241" s="268"/>
      <c r="F241" s="268"/>
      <c r="G241" s="287" t="s">
        <v>264</v>
      </c>
      <c r="H241" s="283" t="s">
        <v>258</v>
      </c>
      <c r="I241" s="291">
        <v>3.5</v>
      </c>
      <c r="J241" s="279" t="s">
        <v>311</v>
      </c>
      <c r="K241" s="279"/>
      <c r="N241" s="281"/>
      <c r="O241" s="281"/>
    </row>
    <row r="242" spans="1:15" s="273" customFormat="1" ht="19.5" customHeight="1" x14ac:dyDescent="0.3">
      <c r="A242" s="268"/>
      <c r="F242" s="268"/>
      <c r="G242" s="287"/>
      <c r="H242" s="283"/>
      <c r="I242" s="291"/>
      <c r="J242" s="279"/>
      <c r="K242" s="279"/>
      <c r="N242" s="281"/>
      <c r="O242" s="281"/>
    </row>
    <row r="243" spans="1:15" s="273" customFormat="1" ht="19.5" customHeight="1" x14ac:dyDescent="0.3">
      <c r="A243" s="268" t="s">
        <v>265</v>
      </c>
      <c r="F243" s="268"/>
      <c r="G243" s="287" t="s">
        <v>264</v>
      </c>
      <c r="H243" s="283" t="s">
        <v>258</v>
      </c>
      <c r="I243" s="295">
        <v>700</v>
      </c>
      <c r="J243" s="279" t="s">
        <v>259</v>
      </c>
      <c r="K243" s="279"/>
      <c r="N243" s="281"/>
      <c r="O243" s="281"/>
    </row>
    <row r="244" spans="1:15" s="273" customFormat="1" ht="19.5" customHeight="1" x14ac:dyDescent="0.3">
      <c r="A244" s="268"/>
      <c r="F244" s="268"/>
      <c r="G244" s="268"/>
      <c r="H244" s="283"/>
      <c r="I244" s="291"/>
      <c r="J244" s="279"/>
      <c r="K244" s="279"/>
      <c r="N244" s="281"/>
      <c r="O244" s="281"/>
    </row>
    <row r="245" spans="1:15" s="273" customFormat="1" ht="19.5" customHeight="1" x14ac:dyDescent="0.3">
      <c r="A245" s="268" t="s">
        <v>266</v>
      </c>
      <c r="D245" s="268" t="s">
        <v>267</v>
      </c>
      <c r="F245" s="268"/>
      <c r="G245" s="268"/>
      <c r="H245" s="283" t="s">
        <v>258</v>
      </c>
      <c r="I245" s="291">
        <f>(2*300)+(2*250)+(6*180)</f>
        <v>2180</v>
      </c>
      <c r="J245" s="279" t="s">
        <v>259</v>
      </c>
      <c r="K245" s="279"/>
      <c r="N245" s="281"/>
      <c r="O245" s="281"/>
    </row>
    <row r="246" spans="1:15" s="273" customFormat="1" ht="19.5" customHeight="1" x14ac:dyDescent="0.3">
      <c r="A246" s="268"/>
      <c r="D246" s="268" t="s">
        <v>268</v>
      </c>
      <c r="F246" s="268"/>
      <c r="G246" s="268"/>
      <c r="H246" s="283"/>
      <c r="I246" s="291"/>
      <c r="J246" s="279"/>
      <c r="K246" s="279"/>
      <c r="N246" s="281"/>
      <c r="O246" s="281"/>
    </row>
    <row r="247" spans="1:15" s="273" customFormat="1" ht="19.5" customHeight="1" x14ac:dyDescent="0.3">
      <c r="A247" s="268"/>
      <c r="D247" s="267" t="str">
        <f>IF(J200=2,TEXT(I225,"0,000.00")&amp;"+"&amp;TEXT(I230,"0,000.00")&amp;"+"&amp;FIXED(I237,2)&amp;"+"&amp;FIXED(I243,2)&amp;"+"&amp;TEXT(I245,"0,000.00"),TEXT(I225,"0,000.00")&amp;"+"&amp;TEXT(I230,"0,000.00")&amp;"+"&amp;FIXED(I243,2)&amp;"+"&amp;TEXT(I245,"0,000.00"))</f>
        <v>0,000.00+0,000.00+700.00+2,180.00</v>
      </c>
      <c r="F247" s="268"/>
      <c r="G247" s="268"/>
      <c r="H247" s="283" t="s">
        <v>258</v>
      </c>
      <c r="I247" s="291">
        <f>IF(J162=2,I187+I192+I237+I243+I245,I187+I192+I243+I245)</f>
        <v>2880</v>
      </c>
      <c r="J247" s="279" t="s">
        <v>259</v>
      </c>
      <c r="K247" s="279"/>
      <c r="N247" s="281"/>
      <c r="O247" s="281"/>
    </row>
    <row r="248" spans="1:15" s="273" customFormat="1" ht="19.5" customHeight="1" x14ac:dyDescent="0.3">
      <c r="A248" s="268"/>
      <c r="D248" s="268" t="s">
        <v>315</v>
      </c>
      <c r="E248" s="268" t="str">
        <f>IF(J161=2,"("&amp;TEXT(I247,"0,000.00")&amp;" / 600) + "&amp;FIXED(I241,2),"("&amp;TEXT(I247,"0,000.00")&amp;" / 600)")</f>
        <v>(2,880.00 / 600)</v>
      </c>
      <c r="F248" s="268"/>
      <c r="G248" s="268"/>
      <c r="H248" s="283" t="s">
        <v>258</v>
      </c>
      <c r="I248" s="291">
        <f>IF(J162=2,I247/600+I241,I247/600)</f>
        <v>4.8</v>
      </c>
      <c r="J248" s="279" t="s">
        <v>311</v>
      </c>
      <c r="K248" s="279"/>
      <c r="N248" s="281"/>
      <c r="O248" s="281"/>
    </row>
    <row r="249" spans="1:15" s="273" customFormat="1" ht="19.5" customHeight="1" x14ac:dyDescent="0.3">
      <c r="A249" s="268"/>
      <c r="F249" s="268"/>
      <c r="G249" s="287" t="s">
        <v>264</v>
      </c>
      <c r="H249" s="283" t="s">
        <v>258</v>
      </c>
      <c r="I249" s="297">
        <f>I248</f>
        <v>4.8</v>
      </c>
      <c r="J249" s="279" t="s">
        <v>311</v>
      </c>
      <c r="K249" s="279"/>
      <c r="N249" s="281"/>
      <c r="O249" s="281"/>
    </row>
    <row r="250" spans="1:15" s="273" customFormat="1" ht="19.5" customHeight="1" x14ac:dyDescent="0.3">
      <c r="A250" s="268" t="s">
        <v>316</v>
      </c>
      <c r="F250" s="268"/>
      <c r="G250" s="268"/>
      <c r="H250" s="283" t="s">
        <v>258</v>
      </c>
      <c r="I250" s="291"/>
      <c r="J250" s="279"/>
      <c r="K250" s="279"/>
      <c r="N250" s="281"/>
      <c r="O250" s="281"/>
    </row>
    <row r="251" spans="1:15" s="273" customFormat="1" ht="19.5" customHeight="1" x14ac:dyDescent="0.3">
      <c r="A251" s="268" t="s">
        <v>269</v>
      </c>
      <c r="F251" s="268" t="s">
        <v>270</v>
      </c>
      <c r="G251" s="268"/>
      <c r="H251" s="283" t="s">
        <v>258</v>
      </c>
      <c r="I251" s="291">
        <f>870+420</f>
        <v>1290</v>
      </c>
      <c r="J251" s="279" t="s">
        <v>259</v>
      </c>
      <c r="K251" s="279"/>
      <c r="N251" s="281"/>
      <c r="O251" s="281"/>
    </row>
    <row r="252" spans="1:15" s="273" customFormat="1" ht="19.5" customHeight="1" x14ac:dyDescent="0.3">
      <c r="A252" s="268" t="s">
        <v>271</v>
      </c>
      <c r="F252" s="268" t="s">
        <v>272</v>
      </c>
      <c r="G252" s="268"/>
      <c r="H252" s="283" t="s">
        <v>258</v>
      </c>
      <c r="I252" s="291">
        <f>200*6</f>
        <v>1200</v>
      </c>
      <c r="J252" s="279" t="s">
        <v>259</v>
      </c>
      <c r="K252" s="279"/>
      <c r="N252" s="281"/>
      <c r="O252" s="281"/>
    </row>
    <row r="253" spans="1:15" s="273" customFormat="1" ht="19.5" customHeight="1" x14ac:dyDescent="0.3">
      <c r="A253" s="268" t="s">
        <v>273</v>
      </c>
      <c r="F253" s="268" t="s">
        <v>274</v>
      </c>
      <c r="G253" s="268"/>
      <c r="H253" s="283" t="s">
        <v>258</v>
      </c>
      <c r="I253" s="291">
        <f>(180*2)+300</f>
        <v>660</v>
      </c>
      <c r="J253" s="279" t="s">
        <v>259</v>
      </c>
      <c r="K253" s="279"/>
      <c r="N253" s="281"/>
      <c r="O253" s="281"/>
    </row>
    <row r="254" spans="1:15" s="273" customFormat="1" ht="19.5" customHeight="1" x14ac:dyDescent="0.3">
      <c r="A254" s="268"/>
      <c r="F254" s="268"/>
      <c r="G254" s="287" t="s">
        <v>261</v>
      </c>
      <c r="H254" s="283" t="s">
        <v>258</v>
      </c>
      <c r="I254" s="291">
        <f>SUM(I251:I253)</f>
        <v>3150</v>
      </c>
      <c r="J254" s="279" t="s">
        <v>259</v>
      </c>
      <c r="K254" s="279"/>
      <c r="N254" s="281"/>
      <c r="O254" s="281"/>
    </row>
    <row r="255" spans="1:15" s="273" customFormat="1" ht="19.5" customHeight="1" x14ac:dyDescent="0.3">
      <c r="A255" s="268"/>
      <c r="F255" s="268" t="s">
        <v>283</v>
      </c>
      <c r="G255" s="287"/>
      <c r="H255" s="283" t="s">
        <v>258</v>
      </c>
      <c r="I255" s="291">
        <f>I254/600</f>
        <v>5.25</v>
      </c>
      <c r="J255" s="279" t="s">
        <v>259</v>
      </c>
      <c r="K255" s="279"/>
      <c r="N255" s="281"/>
      <c r="O255" s="281"/>
    </row>
    <row r="256" spans="1:15" s="273" customFormat="1" ht="19.5" customHeight="1" x14ac:dyDescent="0.3">
      <c r="A256" s="268"/>
      <c r="F256" s="268"/>
      <c r="G256" s="287" t="s">
        <v>264</v>
      </c>
      <c r="H256" s="283" t="s">
        <v>258</v>
      </c>
      <c r="I256" s="297">
        <v>5.5</v>
      </c>
      <c r="J256" s="279" t="s">
        <v>259</v>
      </c>
      <c r="K256" s="279"/>
      <c r="N256" s="281"/>
      <c r="O256" s="281"/>
    </row>
    <row r="257" spans="1:15" s="273" customFormat="1" ht="19.5" customHeight="1" x14ac:dyDescent="0.3">
      <c r="A257" s="268"/>
      <c r="F257" s="268"/>
      <c r="G257" s="287"/>
      <c r="H257" s="283"/>
      <c r="I257" s="296"/>
      <c r="J257" s="279"/>
      <c r="K257" s="279"/>
      <c r="N257" s="281"/>
      <c r="O257" s="281"/>
    </row>
    <row r="258" spans="1:15" s="273" customFormat="1" ht="19.5" customHeight="1" x14ac:dyDescent="0.3">
      <c r="A258" s="347" t="s">
        <v>317</v>
      </c>
      <c r="B258" s="347"/>
      <c r="C258" s="347"/>
      <c r="D258" s="347"/>
      <c r="E258" s="347"/>
      <c r="F258" s="347"/>
      <c r="G258" s="347"/>
      <c r="H258" s="277"/>
      <c r="I258" s="291"/>
      <c r="J258" s="280"/>
      <c r="K258" s="280"/>
      <c r="N258" s="281"/>
      <c r="O258" s="281"/>
    </row>
    <row r="259" spans="1:15" s="273" customFormat="1" ht="19.5" customHeight="1" x14ac:dyDescent="0.3">
      <c r="A259" s="268" t="s">
        <v>275</v>
      </c>
      <c r="F259" s="298" t="s">
        <v>276</v>
      </c>
      <c r="G259" s="274">
        <f>I201</f>
        <v>202.07499999999999</v>
      </c>
      <c r="H259" s="279" t="s">
        <v>311</v>
      </c>
      <c r="I259" s="299"/>
      <c r="J259" s="277"/>
      <c r="K259" s="277"/>
      <c r="N259" s="281"/>
      <c r="O259" s="281"/>
    </row>
    <row r="260" spans="1:15" s="273" customFormat="1" ht="19.5" customHeight="1" x14ac:dyDescent="0.3">
      <c r="A260" s="268" t="s">
        <v>277</v>
      </c>
      <c r="F260" s="298" t="s">
        <v>276</v>
      </c>
      <c r="G260" s="274">
        <f>I208</f>
        <v>33.003</v>
      </c>
      <c r="H260" s="279" t="s">
        <v>311</v>
      </c>
      <c r="I260" s="291"/>
      <c r="J260" s="279"/>
      <c r="K260" s="279"/>
      <c r="N260" s="281"/>
      <c r="O260" s="281"/>
    </row>
    <row r="261" spans="1:15" s="273" customFormat="1" ht="19.5" customHeight="1" x14ac:dyDescent="0.3">
      <c r="A261" s="268" t="s">
        <v>278</v>
      </c>
      <c r="F261" s="298" t="s">
        <v>276</v>
      </c>
      <c r="G261" s="274">
        <f>I211</f>
        <v>39.6</v>
      </c>
      <c r="H261" s="279" t="s">
        <v>311</v>
      </c>
      <c r="I261" s="291"/>
      <c r="J261" s="279"/>
      <c r="K261" s="279"/>
      <c r="N261" s="281"/>
      <c r="O261" s="281"/>
    </row>
    <row r="262" spans="1:15" s="273" customFormat="1" ht="19.5" customHeight="1" x14ac:dyDescent="0.3">
      <c r="A262" s="268" t="s">
        <v>279</v>
      </c>
      <c r="F262" s="298" t="s">
        <v>276</v>
      </c>
      <c r="G262" s="274">
        <f>SUM(G259:G261)*1.05</f>
        <v>288.4119</v>
      </c>
      <c r="H262" s="279" t="s">
        <v>311</v>
      </c>
      <c r="I262" s="291"/>
      <c r="J262" s="279"/>
      <c r="K262" s="279"/>
      <c r="N262" s="281"/>
      <c r="O262" s="281"/>
    </row>
    <row r="263" spans="1:15" s="273" customFormat="1" ht="19.5" customHeight="1" x14ac:dyDescent="0.3">
      <c r="A263" s="268" t="s">
        <v>280</v>
      </c>
      <c r="F263" s="298" t="s">
        <v>276</v>
      </c>
      <c r="G263" s="274">
        <f>I256</f>
        <v>5.5</v>
      </c>
      <c r="H263" s="279" t="s">
        <v>311</v>
      </c>
      <c r="I263" s="291"/>
      <c r="J263" s="279"/>
      <c r="K263" s="279"/>
      <c r="N263" s="281"/>
      <c r="O263" s="281"/>
    </row>
    <row r="264" spans="1:15" s="273" customFormat="1" ht="19.5" customHeight="1" x14ac:dyDescent="0.3">
      <c r="A264" s="268" t="s">
        <v>16</v>
      </c>
      <c r="F264" s="298" t="s">
        <v>276</v>
      </c>
      <c r="G264" s="274">
        <f>I249</f>
        <v>4.8</v>
      </c>
      <c r="H264" s="279" t="s">
        <v>311</v>
      </c>
      <c r="I264" s="291"/>
      <c r="J264" s="279"/>
      <c r="K264" s="279"/>
      <c r="N264" s="281"/>
      <c r="O264" s="281"/>
    </row>
    <row r="265" spans="1:15" s="273" customFormat="1" ht="19.5" customHeight="1" x14ac:dyDescent="0.3">
      <c r="A265" s="268" t="s">
        <v>261</v>
      </c>
      <c r="F265" s="298" t="s">
        <v>276</v>
      </c>
      <c r="G265" s="300">
        <f>G262+G263+G264</f>
        <v>298.71190000000001</v>
      </c>
      <c r="H265" s="279" t="s">
        <v>311</v>
      </c>
      <c r="I265" s="291"/>
      <c r="J265" s="279"/>
      <c r="K265" s="279"/>
      <c r="N265" s="281"/>
      <c r="O265" s="281"/>
    </row>
    <row r="266" spans="1:15" s="273" customFormat="1" ht="19.5" customHeight="1" thickBot="1" x14ac:dyDescent="0.35">
      <c r="A266" s="268" t="s">
        <v>281</v>
      </c>
      <c r="F266" s="298" t="s">
        <v>276</v>
      </c>
      <c r="G266" s="301">
        <f>FLOOR(G265,1)</f>
        <v>298</v>
      </c>
      <c r="H266" s="279" t="s">
        <v>311</v>
      </c>
      <c r="I266" s="291"/>
      <c r="J266" s="279"/>
      <c r="K266" s="279"/>
      <c r="N266" s="281"/>
      <c r="O266" s="281"/>
    </row>
    <row r="267" spans="1:15" s="273" customFormat="1" ht="19.5" customHeight="1" thickTop="1" x14ac:dyDescent="0.3">
      <c r="H267" s="282"/>
      <c r="I267" s="285"/>
      <c r="N267" s="281"/>
      <c r="O267" s="281"/>
    </row>
    <row r="268" spans="1:15" s="273" customFormat="1" ht="19.5" customHeight="1" x14ac:dyDescent="0.3">
      <c r="H268" s="282"/>
      <c r="I268" s="285"/>
      <c r="N268" s="281"/>
      <c r="O268" s="281"/>
    </row>
    <row r="269" spans="1:15" s="273" customFormat="1" ht="19.5" customHeight="1" x14ac:dyDescent="0.3">
      <c r="H269" s="282"/>
      <c r="I269" s="285"/>
      <c r="N269" s="281"/>
      <c r="O269" s="281"/>
    </row>
    <row r="270" spans="1:15" s="273" customFormat="1" ht="19.5" customHeight="1" x14ac:dyDescent="0.3">
      <c r="H270" s="282"/>
      <c r="I270" s="285"/>
      <c r="N270" s="281"/>
      <c r="O270" s="281"/>
    </row>
    <row r="271" spans="1:15" s="273" customFormat="1" ht="19.5" customHeight="1" x14ac:dyDescent="0.3">
      <c r="H271" s="282"/>
      <c r="I271" s="285"/>
      <c r="N271" s="281"/>
      <c r="O271" s="281"/>
    </row>
    <row r="272" spans="1:15" s="273" customFormat="1" ht="19.5" customHeight="1" x14ac:dyDescent="0.3">
      <c r="H272" s="282"/>
      <c r="I272" s="302"/>
      <c r="N272" s="281"/>
      <c r="O272" s="281"/>
    </row>
    <row r="273" spans="8:15" s="273" customFormat="1" ht="19.5" customHeight="1" x14ac:dyDescent="0.3">
      <c r="H273" s="282"/>
      <c r="I273" s="302"/>
      <c r="N273" s="281"/>
      <c r="O273" s="281"/>
    </row>
    <row r="274" spans="8:15" s="273" customFormat="1" ht="19.5" customHeight="1" x14ac:dyDescent="0.3">
      <c r="H274" s="282"/>
      <c r="I274" s="302"/>
      <c r="N274" s="281"/>
      <c r="O274" s="281"/>
    </row>
    <row r="275" spans="8:15" s="273" customFormat="1" ht="19.5" customHeight="1" x14ac:dyDescent="0.3">
      <c r="H275" s="282"/>
      <c r="I275" s="302"/>
      <c r="N275" s="281"/>
      <c r="O275" s="281"/>
    </row>
    <row r="276" spans="8:15" s="273" customFormat="1" ht="19.5" customHeight="1" x14ac:dyDescent="0.3">
      <c r="H276" s="282"/>
      <c r="I276" s="302"/>
      <c r="N276" s="281"/>
      <c r="O276" s="281"/>
    </row>
    <row r="277" spans="8:15" s="273" customFormat="1" ht="19.5" customHeight="1" x14ac:dyDescent="0.3">
      <c r="H277" s="282"/>
      <c r="I277" s="302"/>
      <c r="N277" s="281"/>
      <c r="O277" s="281"/>
    </row>
    <row r="278" spans="8:15" s="273" customFormat="1" ht="19.5" customHeight="1" x14ac:dyDescent="0.3">
      <c r="H278" s="282"/>
      <c r="I278" s="302"/>
      <c r="N278" s="281"/>
      <c r="O278" s="281"/>
    </row>
    <row r="279" spans="8:15" s="273" customFormat="1" ht="19.5" customHeight="1" x14ac:dyDescent="0.3">
      <c r="H279" s="282"/>
      <c r="I279" s="302"/>
      <c r="N279" s="281"/>
      <c r="O279" s="281"/>
    </row>
    <row r="280" spans="8:15" s="273" customFormat="1" ht="19.5" customHeight="1" x14ac:dyDescent="0.3">
      <c r="H280" s="282"/>
      <c r="I280" s="302"/>
      <c r="N280" s="281"/>
      <c r="O280" s="281"/>
    </row>
    <row r="281" spans="8:15" s="273" customFormat="1" ht="19.5" customHeight="1" x14ac:dyDescent="0.3">
      <c r="H281" s="282"/>
      <c r="I281" s="302"/>
      <c r="N281" s="281"/>
      <c r="O281" s="281"/>
    </row>
    <row r="282" spans="8:15" s="273" customFormat="1" ht="19.5" customHeight="1" x14ac:dyDescent="0.3">
      <c r="H282" s="282"/>
      <c r="I282" s="302"/>
      <c r="N282" s="281"/>
      <c r="O282" s="281"/>
    </row>
    <row r="283" spans="8:15" s="273" customFormat="1" ht="19.5" customHeight="1" x14ac:dyDescent="0.3">
      <c r="H283" s="282"/>
      <c r="I283" s="302"/>
      <c r="N283" s="281"/>
      <c r="O283" s="281"/>
    </row>
    <row r="284" spans="8:15" s="273" customFormat="1" ht="19.5" customHeight="1" x14ac:dyDescent="0.3">
      <c r="H284" s="282"/>
      <c r="I284" s="302"/>
      <c r="N284" s="281"/>
      <c r="O284" s="281"/>
    </row>
    <row r="285" spans="8:15" s="273" customFormat="1" ht="19.5" customHeight="1" x14ac:dyDescent="0.3">
      <c r="H285" s="282"/>
      <c r="I285" s="302"/>
      <c r="N285" s="281"/>
      <c r="O285" s="281"/>
    </row>
    <row r="286" spans="8:15" s="273" customFormat="1" ht="19.5" customHeight="1" x14ac:dyDescent="0.3">
      <c r="H286" s="282"/>
      <c r="I286" s="302"/>
      <c r="N286" s="281"/>
      <c r="O286" s="281"/>
    </row>
  </sheetData>
  <mergeCells count="4">
    <mergeCell ref="A1:K1"/>
    <mergeCell ref="A2:K2"/>
    <mergeCell ref="C5:D5"/>
    <mergeCell ref="A258:G258"/>
  </mergeCells>
  <phoneticPr fontId="2" type="noConversion"/>
  <pageMargins left="0.39370078740157483" right="0.19685039370078741" top="0.59055118110236227" bottom="0.39370078740157483" header="0.51181102362204722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workbookViewId="0">
      <pane ySplit="9" topLeftCell="A10" activePane="bottomLeft" state="frozen"/>
      <selection pane="bottomLeft" activeCell="J38" sqref="J38"/>
    </sheetView>
  </sheetViews>
  <sheetFormatPr defaultColWidth="9.140625" defaultRowHeight="22.5" customHeight="1" x14ac:dyDescent="0.2"/>
  <cols>
    <col min="1" max="1" width="8.5703125" style="22" customWidth="1"/>
    <col min="2" max="2" width="4.140625" style="22" customWidth="1"/>
    <col min="3" max="3" width="43" style="22" customWidth="1"/>
    <col min="4" max="4" width="7.28515625" style="22" customWidth="1"/>
    <col min="5" max="5" width="11.28515625" style="22" customWidth="1"/>
    <col min="6" max="7" width="12.140625" style="22" customWidth="1"/>
    <col min="8" max="8" width="9" style="22" customWidth="1"/>
    <col min="9" max="9" width="14.7109375" style="22" customWidth="1"/>
    <col min="10" max="10" width="13.140625" style="22" customWidth="1"/>
    <col min="11" max="11" width="10.140625" style="22" customWidth="1"/>
    <col min="12" max="13" width="9.140625" style="179"/>
    <col min="14" max="16384" width="9.140625" style="22"/>
  </cols>
  <sheetData>
    <row r="1" spans="1:13" ht="33.75" customHeight="1" x14ac:dyDescent="0.2">
      <c r="A1" s="349" t="s">
        <v>99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2" spans="1:13" s="58" customFormat="1" ht="21" customHeight="1" x14ac:dyDescent="0.2">
      <c r="A2" s="56" t="s">
        <v>71</v>
      </c>
      <c r="B2" s="56"/>
      <c r="C2" s="57" t="s">
        <v>332</v>
      </c>
      <c r="D2" s="57"/>
      <c r="E2" s="57"/>
      <c r="F2" s="57"/>
      <c r="G2" s="57"/>
      <c r="H2" s="57"/>
      <c r="I2" s="57"/>
      <c r="J2" s="57"/>
      <c r="K2" s="57"/>
      <c r="L2" s="181"/>
      <c r="M2" s="182"/>
    </row>
    <row r="3" spans="1:13" s="58" customFormat="1" ht="21" customHeight="1" x14ac:dyDescent="0.2">
      <c r="A3" s="56" t="s">
        <v>72</v>
      </c>
      <c r="B3" s="56"/>
      <c r="C3" s="57" t="s">
        <v>336</v>
      </c>
      <c r="D3" s="59"/>
      <c r="E3" s="54"/>
      <c r="F3" s="54"/>
      <c r="G3" s="51"/>
      <c r="H3" s="51"/>
      <c r="I3" s="59"/>
      <c r="J3" s="59"/>
      <c r="K3" s="59"/>
      <c r="L3" s="183"/>
      <c r="M3" s="182"/>
    </row>
    <row r="4" spans="1:13" s="58" customFormat="1" ht="21" customHeight="1" x14ac:dyDescent="0.2">
      <c r="A4" s="68" t="s">
        <v>50</v>
      </c>
      <c r="B4" s="68"/>
      <c r="C4" s="320" t="s">
        <v>331</v>
      </c>
      <c r="D4" s="69"/>
      <c r="E4" s="69" t="s">
        <v>51</v>
      </c>
      <c r="F4" s="322" t="s">
        <v>353</v>
      </c>
      <c r="G4" s="70"/>
      <c r="H4" s="70"/>
      <c r="I4" s="69" t="s">
        <v>52</v>
      </c>
      <c r="J4" s="71" t="s">
        <v>333</v>
      </c>
      <c r="K4" s="71"/>
      <c r="L4" s="184"/>
      <c r="M4" s="182"/>
    </row>
    <row r="5" spans="1:13" s="58" customFormat="1" ht="21" customHeight="1" x14ac:dyDescent="0.2">
      <c r="A5" s="350" t="s">
        <v>27</v>
      </c>
      <c r="B5" s="350"/>
      <c r="C5" s="321" t="s">
        <v>330</v>
      </c>
      <c r="D5" s="60">
        <f>ปร.4!O5</f>
        <v>0</v>
      </c>
      <c r="E5" s="60" t="s">
        <v>53</v>
      </c>
      <c r="F5" s="59" t="s">
        <v>327</v>
      </c>
      <c r="G5" s="51"/>
      <c r="H5" s="54"/>
      <c r="I5" s="61" t="s">
        <v>54</v>
      </c>
      <c r="J5" s="59" t="s">
        <v>328</v>
      </c>
      <c r="K5" s="54"/>
      <c r="L5" s="185"/>
      <c r="M5" s="182"/>
    </row>
    <row r="6" spans="1:13" s="23" customFormat="1" ht="21" customHeight="1" x14ac:dyDescent="0.2">
      <c r="A6" s="61" t="s">
        <v>98</v>
      </c>
      <c r="B6" s="61"/>
      <c r="C6" s="63" t="s">
        <v>329</v>
      </c>
      <c r="D6" s="60"/>
      <c r="E6" s="60" t="s">
        <v>32</v>
      </c>
      <c r="F6" s="62"/>
      <c r="G6" s="63" t="s">
        <v>352</v>
      </c>
      <c r="H6" s="63"/>
      <c r="I6" s="63"/>
      <c r="J6" s="63"/>
      <c r="K6" s="63"/>
      <c r="L6" s="186"/>
      <c r="M6" s="179"/>
    </row>
    <row r="7" spans="1:13" s="23" customFormat="1" ht="21" customHeight="1" x14ac:dyDescent="0.2">
      <c r="A7" s="64"/>
      <c r="B7" s="64"/>
      <c r="C7" s="65"/>
      <c r="D7" s="66"/>
      <c r="E7" s="65"/>
      <c r="F7" s="65"/>
      <c r="G7" s="65"/>
      <c r="H7" s="65"/>
      <c r="I7" s="65"/>
      <c r="J7" s="65"/>
      <c r="K7" s="67" t="s">
        <v>74</v>
      </c>
      <c r="L7" s="186"/>
      <c r="M7" s="179"/>
    </row>
    <row r="8" spans="1:13" s="39" customFormat="1" ht="21" customHeight="1" x14ac:dyDescent="0.2">
      <c r="A8" s="348" t="s">
        <v>22</v>
      </c>
      <c r="B8" s="348" t="s">
        <v>0</v>
      </c>
      <c r="C8" s="348"/>
      <c r="D8" s="348" t="s">
        <v>1</v>
      </c>
      <c r="E8" s="348" t="s">
        <v>23</v>
      </c>
      <c r="F8" s="348" t="s">
        <v>24</v>
      </c>
      <c r="G8" s="348" t="s">
        <v>25</v>
      </c>
      <c r="H8" s="348" t="s">
        <v>90</v>
      </c>
      <c r="I8" s="348" t="s">
        <v>91</v>
      </c>
      <c r="J8" s="348" t="s">
        <v>26</v>
      </c>
      <c r="K8" s="351" t="s">
        <v>2</v>
      </c>
      <c r="L8" s="179"/>
      <c r="M8" s="179"/>
    </row>
    <row r="9" spans="1:13" ht="21" customHeight="1" x14ac:dyDescent="0.2">
      <c r="A9" s="348"/>
      <c r="B9" s="348"/>
      <c r="C9" s="348"/>
      <c r="D9" s="348"/>
      <c r="E9" s="348"/>
      <c r="F9" s="348"/>
      <c r="G9" s="348"/>
      <c r="H9" s="348"/>
      <c r="I9" s="348"/>
      <c r="J9" s="348"/>
      <c r="K9" s="352"/>
    </row>
    <row r="10" spans="1:13" ht="21" customHeight="1" x14ac:dyDescent="0.2">
      <c r="A10" s="138">
        <v>1</v>
      </c>
      <c r="B10" s="139" t="s">
        <v>229</v>
      </c>
      <c r="C10" s="188"/>
      <c r="D10" s="148"/>
      <c r="E10" s="189"/>
      <c r="F10" s="137"/>
      <c r="G10" s="141"/>
      <c r="H10" s="142"/>
      <c r="I10" s="141"/>
      <c r="J10" s="143"/>
      <c r="K10" s="144"/>
      <c r="L10" s="187"/>
      <c r="M10" s="180"/>
    </row>
    <row r="11" spans="1:13" ht="21" customHeight="1" x14ac:dyDescent="0.2">
      <c r="A11" s="132"/>
      <c r="B11" s="145" t="s">
        <v>228</v>
      </c>
      <c r="C11" s="63"/>
      <c r="D11" s="148" t="s">
        <v>20</v>
      </c>
      <c r="E11" s="189">
        <v>1410</v>
      </c>
      <c r="F11" s="137">
        <f>'ค่างาน ถ.ค.ส.ล.'!I26</f>
        <v>13.71</v>
      </c>
      <c r="G11" s="141">
        <f>E11*F11</f>
        <v>19331.100000000002</v>
      </c>
      <c r="H11" s="142">
        <f>ปร.5!$O$11</f>
        <v>1.3624000000000001</v>
      </c>
      <c r="I11" s="141">
        <f>F11*H11</f>
        <v>18.678504</v>
      </c>
      <c r="J11" s="143">
        <f>FLOOR(G11*H11,0.01)</f>
        <v>26336.690000000002</v>
      </c>
      <c r="K11" s="144"/>
      <c r="L11" s="187"/>
      <c r="M11" s="180"/>
    </row>
    <row r="12" spans="1:13" ht="21" customHeight="1" x14ac:dyDescent="0.2">
      <c r="A12" s="130">
        <v>2</v>
      </c>
      <c r="B12" s="149" t="s">
        <v>248</v>
      </c>
      <c r="C12" s="63"/>
      <c r="D12" s="148"/>
      <c r="E12" s="189"/>
      <c r="F12" s="137"/>
      <c r="G12" s="141"/>
      <c r="H12" s="142"/>
      <c r="I12" s="141"/>
      <c r="J12" s="143"/>
      <c r="K12" s="144"/>
      <c r="L12" s="187"/>
      <c r="M12" s="180"/>
    </row>
    <row r="13" spans="1:13" ht="21" customHeight="1" x14ac:dyDescent="0.2">
      <c r="A13" s="132"/>
      <c r="B13" s="146" t="s">
        <v>231</v>
      </c>
      <c r="C13" s="63"/>
      <c r="D13" s="148" t="s">
        <v>20</v>
      </c>
      <c r="E13" s="190">
        <v>470</v>
      </c>
      <c r="F13" s="143">
        <f>'ค่างาน ถ.ค.ส.ล.'!I8</f>
        <v>1.56</v>
      </c>
      <c r="G13" s="141">
        <f>E13*F13</f>
        <v>733.2</v>
      </c>
      <c r="H13" s="142">
        <f>ปร.5!$O$11</f>
        <v>1.3624000000000001</v>
      </c>
      <c r="I13" s="141">
        <f>F13*H13</f>
        <v>2.1253440000000001</v>
      </c>
      <c r="J13" s="143">
        <f>FLOOR(G13*H13,0.01)</f>
        <v>998.91</v>
      </c>
      <c r="K13" s="144"/>
      <c r="L13" s="187"/>
      <c r="M13" s="180"/>
    </row>
    <row r="14" spans="1:13" ht="21" customHeight="1" x14ac:dyDescent="0.2">
      <c r="A14" s="132"/>
      <c r="B14" s="146" t="s">
        <v>230</v>
      </c>
      <c r="C14" s="63"/>
      <c r="D14" s="148" t="s">
        <v>3</v>
      </c>
      <c r="E14" s="190">
        <v>287</v>
      </c>
      <c r="F14" s="143">
        <f>'ค่างาน ถ.ค.ส.ล.'!I35</f>
        <v>22.400000000000002</v>
      </c>
      <c r="G14" s="141">
        <f>E14*F14</f>
        <v>6428.8</v>
      </c>
      <c r="H14" s="142">
        <f>ปร.5!$O$11</f>
        <v>1.3624000000000001</v>
      </c>
      <c r="I14" s="141">
        <f>F14*H14</f>
        <v>30.517760000000003</v>
      </c>
      <c r="J14" s="143">
        <f>FLOOR(G14*H14,0.01)</f>
        <v>8758.59</v>
      </c>
      <c r="K14" s="144"/>
      <c r="L14" s="187"/>
      <c r="M14" s="180"/>
    </row>
    <row r="15" spans="1:13" ht="21" customHeight="1" x14ac:dyDescent="0.2">
      <c r="A15" s="130">
        <v>3</v>
      </c>
      <c r="B15" s="147" t="s">
        <v>232</v>
      </c>
      <c r="C15" s="63"/>
      <c r="D15" s="150"/>
      <c r="E15" s="190"/>
      <c r="F15" s="143"/>
      <c r="G15" s="141"/>
      <c r="H15" s="142"/>
      <c r="I15" s="141"/>
      <c r="J15" s="143"/>
      <c r="K15" s="144"/>
      <c r="L15" s="187"/>
      <c r="M15" s="180"/>
    </row>
    <row r="16" spans="1:13" ht="21" customHeight="1" x14ac:dyDescent="0.2">
      <c r="A16" s="132"/>
      <c r="B16" s="145" t="s">
        <v>235</v>
      </c>
      <c r="C16" s="63"/>
      <c r="D16" s="150" t="s">
        <v>20</v>
      </c>
      <c r="E16" s="190">
        <v>1645</v>
      </c>
      <c r="F16" s="143">
        <f>'ค่างาน ถ.ค.ส.ล.'!I13</f>
        <v>9.6300000000000008</v>
      </c>
      <c r="G16" s="141">
        <f>E16*F16</f>
        <v>15841.350000000002</v>
      </c>
      <c r="H16" s="142">
        <f>ปร.5!$O$11</f>
        <v>1.3624000000000001</v>
      </c>
      <c r="I16" s="141">
        <f>F16*H16</f>
        <v>13.119912000000001</v>
      </c>
      <c r="J16" s="143">
        <f>FLOOR(G16*H16,0.01)</f>
        <v>21582.25</v>
      </c>
      <c r="K16" s="144"/>
      <c r="L16" s="187"/>
      <c r="M16" s="180"/>
    </row>
    <row r="17" spans="1:13" ht="21" customHeight="1" x14ac:dyDescent="0.2">
      <c r="A17" s="132"/>
      <c r="B17" s="145" t="s">
        <v>250</v>
      </c>
      <c r="C17" s="63"/>
      <c r="D17" s="150" t="s">
        <v>3</v>
      </c>
      <c r="E17" s="190">
        <v>296</v>
      </c>
      <c r="F17" s="143">
        <f>'ค่างาน ถ.ค.ส.ล.'!I49</f>
        <v>286.90000000000003</v>
      </c>
      <c r="G17" s="141">
        <f>E17*F17</f>
        <v>84922.400000000009</v>
      </c>
      <c r="H17" s="142">
        <f>ปร.5!$O$11</f>
        <v>1.3624000000000001</v>
      </c>
      <c r="I17" s="141">
        <f>F17*H17</f>
        <v>390.87256000000008</v>
      </c>
      <c r="J17" s="143">
        <f>FLOOR(G17*H17,0.01)</f>
        <v>115698.27</v>
      </c>
      <c r="K17" s="144"/>
      <c r="L17" s="187"/>
      <c r="M17" s="180"/>
    </row>
    <row r="18" spans="1:13" ht="21" customHeight="1" x14ac:dyDescent="0.2">
      <c r="A18" s="191">
        <v>4</v>
      </c>
      <c r="B18" s="192" t="s">
        <v>233</v>
      </c>
      <c r="C18" s="193"/>
      <c r="D18" s="148"/>
      <c r="E18" s="190"/>
      <c r="F18" s="143"/>
      <c r="G18" s="141"/>
      <c r="H18" s="142"/>
      <c r="I18" s="141"/>
      <c r="J18" s="143"/>
      <c r="K18" s="144"/>
      <c r="L18" s="187"/>
      <c r="M18" s="180"/>
    </row>
    <row r="19" spans="1:13" ht="21" customHeight="1" x14ac:dyDescent="0.2">
      <c r="A19" s="132"/>
      <c r="B19" s="145" t="s">
        <v>234</v>
      </c>
      <c r="C19" s="63"/>
      <c r="D19" s="148" t="s">
        <v>20</v>
      </c>
      <c r="E19" s="190">
        <v>138</v>
      </c>
      <c r="F19" s="143">
        <f>'ค่างาน ถ.ค.ส.ล.'!I59</f>
        <v>728.40000000000009</v>
      </c>
      <c r="G19" s="141">
        <f>E19*F19</f>
        <v>100519.20000000001</v>
      </c>
      <c r="H19" s="142">
        <f>ปร.5!$O$11</f>
        <v>1.3624000000000001</v>
      </c>
      <c r="I19" s="141">
        <f>F19*H19</f>
        <v>992.37216000000012</v>
      </c>
      <c r="J19" s="143">
        <f>FLOOR(G19*H19,0.01)</f>
        <v>136947.35</v>
      </c>
      <c r="K19" s="144"/>
      <c r="L19" s="187"/>
      <c r="M19" s="180"/>
    </row>
    <row r="20" spans="1:13" ht="21" customHeight="1" x14ac:dyDescent="0.2">
      <c r="A20" s="130">
        <v>5</v>
      </c>
      <c r="B20" s="149" t="s">
        <v>236</v>
      </c>
      <c r="C20" s="63"/>
      <c r="D20" s="148"/>
      <c r="E20" s="189"/>
      <c r="F20" s="137"/>
      <c r="G20" s="141"/>
      <c r="H20" s="142"/>
      <c r="I20" s="141"/>
      <c r="J20" s="143"/>
      <c r="K20" s="144"/>
      <c r="L20" s="187"/>
      <c r="M20" s="180"/>
    </row>
    <row r="21" spans="1:13" ht="21" customHeight="1" x14ac:dyDescent="0.2">
      <c r="A21" s="132"/>
      <c r="B21" s="146" t="s">
        <v>237</v>
      </c>
      <c r="C21" s="63"/>
      <c r="D21" s="148" t="s">
        <v>20</v>
      </c>
      <c r="E21" s="189">
        <v>1386</v>
      </c>
      <c r="F21" s="137">
        <f>'ค่างาน ถ.ค.ส.ล.'!I78</f>
        <v>355.20000000000005</v>
      </c>
      <c r="G21" s="141">
        <f>E21*F21</f>
        <v>492307.20000000007</v>
      </c>
      <c r="H21" s="142">
        <f>ปร.5!$O$11</f>
        <v>1.3624000000000001</v>
      </c>
      <c r="I21" s="141">
        <f>F21*H21</f>
        <v>483.92448000000007</v>
      </c>
      <c r="J21" s="143">
        <f>FLOOR(G21*H21,0.01)</f>
        <v>670719.32000000007</v>
      </c>
      <c r="K21" s="144"/>
      <c r="L21" s="187"/>
      <c r="M21" s="180"/>
    </row>
    <row r="22" spans="1:13" ht="21" customHeight="1" x14ac:dyDescent="0.2">
      <c r="A22" s="132"/>
      <c r="B22" s="145" t="s">
        <v>238</v>
      </c>
      <c r="C22" s="63"/>
      <c r="D22" s="150" t="s">
        <v>56</v>
      </c>
      <c r="E22" s="189">
        <v>10</v>
      </c>
      <c r="F22" s="137">
        <f>'ค่างาน ถ.ค.ส.ล.'!I92</f>
        <v>207.9</v>
      </c>
      <c r="G22" s="141">
        <f>E22*F22</f>
        <v>2079</v>
      </c>
      <c r="H22" s="142">
        <f>ปร.5!$O$11</f>
        <v>1.3624000000000001</v>
      </c>
      <c r="I22" s="141">
        <f>F22*H22</f>
        <v>283.24296000000004</v>
      </c>
      <c r="J22" s="143">
        <f>FLOOR(G22*H22,0.01)</f>
        <v>2832.42</v>
      </c>
      <c r="K22" s="144"/>
      <c r="L22" s="187"/>
      <c r="M22" s="180"/>
    </row>
    <row r="23" spans="1:13" ht="21" customHeight="1" x14ac:dyDescent="0.2">
      <c r="A23" s="132"/>
      <c r="B23" s="145" t="s">
        <v>239</v>
      </c>
      <c r="C23" s="63"/>
      <c r="D23" s="150" t="s">
        <v>56</v>
      </c>
      <c r="E23" s="189">
        <v>105</v>
      </c>
      <c r="F23" s="137">
        <f>'ค่างาน ถ.ค.ส.ล.'!I103</f>
        <v>137.4</v>
      </c>
      <c r="G23" s="141">
        <f>E23*F23</f>
        <v>14427</v>
      </c>
      <c r="H23" s="142">
        <f>ปร.5!$O$11</f>
        <v>1.3624000000000001</v>
      </c>
      <c r="I23" s="141">
        <f>F23*H23</f>
        <v>187.19376000000003</v>
      </c>
      <c r="J23" s="143">
        <f>FLOOR(G23*H23,0.01)</f>
        <v>19655.34</v>
      </c>
      <c r="K23" s="144"/>
      <c r="L23" s="187"/>
      <c r="M23" s="180"/>
    </row>
    <row r="24" spans="1:13" ht="21" customHeight="1" x14ac:dyDescent="0.2">
      <c r="A24" s="132"/>
      <c r="B24" s="145" t="s">
        <v>240</v>
      </c>
      <c r="C24" s="63"/>
      <c r="D24" s="150" t="s">
        <v>56</v>
      </c>
      <c r="E24" s="189">
        <v>211</v>
      </c>
      <c r="F24" s="137">
        <f>'ค่างาน ถ.ค.ส.ล.'!I112</f>
        <v>60.300000000000004</v>
      </c>
      <c r="G24" s="141">
        <f>E24*F24</f>
        <v>12723.300000000001</v>
      </c>
      <c r="H24" s="142">
        <f>ปร.5!$O$11</f>
        <v>1.3624000000000001</v>
      </c>
      <c r="I24" s="141">
        <f>F24*H24</f>
        <v>82.152720000000002</v>
      </c>
      <c r="J24" s="143">
        <f>FLOOR(G24*H24,0.01)</f>
        <v>17334.22</v>
      </c>
      <c r="K24" s="144"/>
      <c r="L24" s="187"/>
      <c r="M24" s="180"/>
    </row>
    <row r="25" spans="1:13" ht="21" customHeight="1" x14ac:dyDescent="0.2">
      <c r="A25" s="133"/>
      <c r="B25" s="260"/>
      <c r="C25" s="135"/>
      <c r="D25" s="136"/>
      <c r="E25" s="189"/>
      <c r="F25" s="137"/>
      <c r="G25" s="232"/>
      <c r="H25" s="233"/>
      <c r="I25" s="232"/>
      <c r="J25" s="137"/>
      <c r="K25" s="234"/>
      <c r="L25" s="187"/>
      <c r="M25" s="180"/>
    </row>
    <row r="26" spans="1:13" ht="21" customHeight="1" x14ac:dyDescent="0.2">
      <c r="A26" s="151"/>
      <c r="B26" s="258"/>
      <c r="C26" s="259" t="s">
        <v>93</v>
      </c>
      <c r="D26" s="162"/>
      <c r="E26" s="248"/>
      <c r="F26" s="249"/>
      <c r="G26" s="175"/>
      <c r="H26" s="176"/>
      <c r="I26" s="175"/>
      <c r="J26" s="308">
        <f>SUM(J10:J24)</f>
        <v>1020863.3600000001</v>
      </c>
      <c r="K26" s="250"/>
      <c r="L26" s="187"/>
      <c r="M26" s="180"/>
    </row>
    <row r="27" spans="1:13" ht="21" customHeight="1" x14ac:dyDescent="0.2">
      <c r="A27" s="252"/>
      <c r="B27" s="253"/>
      <c r="C27" s="254" t="s">
        <v>94</v>
      </c>
      <c r="D27" s="164"/>
      <c r="E27" s="255"/>
      <c r="F27" s="256"/>
      <c r="G27" s="177"/>
      <c r="H27" s="178"/>
      <c r="I27" s="177"/>
      <c r="J27" s="309">
        <f>J26</f>
        <v>1020863.3600000001</v>
      </c>
      <c r="K27" s="257"/>
      <c r="L27" s="187"/>
      <c r="M27" s="180"/>
    </row>
    <row r="28" spans="1:13" ht="21" customHeight="1" x14ac:dyDescent="0.2">
      <c r="A28" s="130">
        <v>6</v>
      </c>
      <c r="B28" s="147" t="s">
        <v>241</v>
      </c>
      <c r="C28" s="63"/>
      <c r="D28" s="150"/>
      <c r="E28" s="189"/>
      <c r="F28" s="137"/>
      <c r="G28" s="194"/>
      <c r="H28" s="195"/>
      <c r="I28" s="194"/>
      <c r="J28" s="196"/>
      <c r="K28" s="144"/>
      <c r="L28" s="187"/>
      <c r="M28" s="180"/>
    </row>
    <row r="29" spans="1:13" ht="21" customHeight="1" x14ac:dyDescent="0.2">
      <c r="A29" s="132"/>
      <c r="B29" s="145" t="s">
        <v>251</v>
      </c>
      <c r="C29" s="63"/>
      <c r="D29" s="150" t="s">
        <v>56</v>
      </c>
      <c r="E29" s="189">
        <v>263</v>
      </c>
      <c r="F29" s="137">
        <f>'ค่างาน ถ.ค.ส.ล.'!I156</f>
        <v>2051</v>
      </c>
      <c r="G29" s="141">
        <f>E29*F29</f>
        <v>539413</v>
      </c>
      <c r="H29" s="142">
        <f>ปร.5!$O$11</f>
        <v>1.3624000000000001</v>
      </c>
      <c r="I29" s="141">
        <f>F29*H29</f>
        <v>2794.2824000000001</v>
      </c>
      <c r="J29" s="143">
        <f>FLOOR(G29*H29,0.01)</f>
        <v>734896.27</v>
      </c>
      <c r="K29" s="144"/>
      <c r="L29" s="187"/>
      <c r="M29" s="180"/>
    </row>
    <row r="30" spans="1:13" ht="21" customHeight="1" x14ac:dyDescent="0.2">
      <c r="A30" s="130"/>
      <c r="B30" s="146" t="s">
        <v>252</v>
      </c>
      <c r="C30" s="63"/>
      <c r="D30" s="150" t="s">
        <v>249</v>
      </c>
      <c r="E30" s="189">
        <v>24</v>
      </c>
      <c r="F30" s="137">
        <f>'ค่างาน ถ.ค.ส.ล.'!I189</f>
        <v>7509</v>
      </c>
      <c r="G30" s="141">
        <f>E30*F30</f>
        <v>180216</v>
      </c>
      <c r="H30" s="142">
        <f>ปร.5!$O$11</f>
        <v>1.3624000000000001</v>
      </c>
      <c r="I30" s="141">
        <f>F30*H30</f>
        <v>10230.2616</v>
      </c>
      <c r="J30" s="143">
        <f>FLOOR(G30*H30,0.01)</f>
        <v>245526.27000000002</v>
      </c>
      <c r="K30" s="144"/>
      <c r="L30" s="187"/>
      <c r="M30" s="180"/>
    </row>
    <row r="31" spans="1:13" ht="21" customHeight="1" x14ac:dyDescent="0.2">
      <c r="A31" s="130">
        <v>7</v>
      </c>
      <c r="B31" s="147" t="s">
        <v>253</v>
      </c>
      <c r="C31" s="63"/>
      <c r="D31" s="150"/>
      <c r="E31" s="189"/>
      <c r="F31" s="137"/>
      <c r="G31" s="194"/>
      <c r="H31" s="195"/>
      <c r="I31" s="194"/>
      <c r="J31" s="196"/>
      <c r="K31" s="144"/>
      <c r="L31" s="187"/>
      <c r="M31" s="180"/>
    </row>
    <row r="32" spans="1:13" ht="21" customHeight="1" x14ac:dyDescent="0.2">
      <c r="A32" s="132"/>
      <c r="B32" s="131" t="s">
        <v>322</v>
      </c>
      <c r="C32" s="63"/>
      <c r="D32" s="150"/>
      <c r="E32" s="189"/>
      <c r="F32" s="137"/>
      <c r="G32" s="141"/>
      <c r="H32" s="142"/>
      <c r="I32" s="141"/>
      <c r="J32" s="143"/>
      <c r="K32" s="144"/>
      <c r="L32" s="187"/>
      <c r="M32" s="180"/>
    </row>
    <row r="33" spans="1:13" ht="21" customHeight="1" x14ac:dyDescent="0.2">
      <c r="A33" s="132"/>
      <c r="B33" s="131" t="s">
        <v>321</v>
      </c>
      <c r="C33" s="63"/>
      <c r="D33" s="150" t="s">
        <v>20</v>
      </c>
      <c r="E33" s="189">
        <v>53</v>
      </c>
      <c r="F33" s="137">
        <v>290</v>
      </c>
      <c r="G33" s="141">
        <f>E33*F33</f>
        <v>15370</v>
      </c>
      <c r="H33" s="142">
        <f>ปร.5!$O$11</f>
        <v>1.3624000000000001</v>
      </c>
      <c r="I33" s="141">
        <f>F33*H33</f>
        <v>395.096</v>
      </c>
      <c r="J33" s="143">
        <f>FLOOR(G33*H33,0.01)</f>
        <v>20940.080000000002</v>
      </c>
      <c r="K33" s="144"/>
      <c r="L33" s="187"/>
      <c r="M33" s="180"/>
    </row>
    <row r="34" spans="1:13" ht="21" customHeight="1" x14ac:dyDescent="0.2">
      <c r="A34" s="133"/>
      <c r="B34" s="134" t="s">
        <v>323</v>
      </c>
      <c r="C34" s="135"/>
      <c r="D34" s="136"/>
      <c r="E34" s="189"/>
      <c r="F34" s="137"/>
      <c r="G34" s="232"/>
      <c r="H34" s="233"/>
      <c r="I34" s="232"/>
      <c r="J34" s="137"/>
      <c r="K34" s="234"/>
      <c r="L34" s="187"/>
      <c r="M34" s="180"/>
    </row>
    <row r="35" spans="1:13" ht="21" customHeight="1" x14ac:dyDescent="0.2">
      <c r="A35" s="133"/>
      <c r="B35" s="134" t="s">
        <v>320</v>
      </c>
      <c r="C35" s="135"/>
      <c r="D35" s="150" t="s">
        <v>89</v>
      </c>
      <c r="E35" s="189">
        <v>1</v>
      </c>
      <c r="F35" s="137">
        <v>9910</v>
      </c>
      <c r="G35" s="141">
        <f>E35*F35</f>
        <v>9910</v>
      </c>
      <c r="H35" s="142">
        <f>ปร.5!$O$11</f>
        <v>1.3624000000000001</v>
      </c>
      <c r="I35" s="141">
        <f>F35*H35</f>
        <v>13501.384</v>
      </c>
      <c r="J35" s="143">
        <f>FLOOR(G35*H35,0.01)</f>
        <v>13501.380000000001</v>
      </c>
      <c r="K35" s="144"/>
      <c r="L35" s="187"/>
      <c r="M35" s="180"/>
    </row>
    <row r="36" spans="1:13" ht="21" customHeight="1" x14ac:dyDescent="0.2">
      <c r="A36" s="133"/>
      <c r="B36" s="134" t="s">
        <v>324</v>
      </c>
      <c r="C36" s="135"/>
      <c r="D36" s="136" t="s">
        <v>89</v>
      </c>
      <c r="E36" s="307">
        <v>2</v>
      </c>
      <c r="F36" s="137">
        <v>4040</v>
      </c>
      <c r="G36" s="141">
        <f>E36*F36</f>
        <v>8080</v>
      </c>
      <c r="H36" s="142">
        <f>ปร.5!$O$11</f>
        <v>1.3624000000000001</v>
      </c>
      <c r="I36" s="141">
        <f>F36*H36</f>
        <v>5504.0960000000005</v>
      </c>
      <c r="J36" s="143">
        <f>FLOOR(G36*H36,0.01)</f>
        <v>11008.19</v>
      </c>
      <c r="K36" s="234"/>
      <c r="L36" s="187"/>
      <c r="M36" s="180"/>
    </row>
    <row r="37" spans="1:13" ht="21" customHeight="1" x14ac:dyDescent="0.2">
      <c r="A37" s="304"/>
      <c r="B37" s="158" t="s">
        <v>325</v>
      </c>
      <c r="C37" s="65"/>
      <c r="D37" s="162" t="s">
        <v>89</v>
      </c>
      <c r="E37" s="163">
        <v>2</v>
      </c>
      <c r="F37" s="249">
        <v>2840</v>
      </c>
      <c r="G37" s="175">
        <f>E37*F37</f>
        <v>5680</v>
      </c>
      <c r="H37" s="176">
        <f>ปร.5!$O$11</f>
        <v>1.3624000000000001</v>
      </c>
      <c r="I37" s="175">
        <f>F37*H37</f>
        <v>3869.2160000000003</v>
      </c>
      <c r="J37" s="249">
        <f>FLOOR(G37*H37,0.01)</f>
        <v>7738.43</v>
      </c>
      <c r="K37" s="250"/>
      <c r="L37" s="187"/>
      <c r="M37" s="180"/>
    </row>
    <row r="38" spans="1:13" ht="25.5" customHeight="1" x14ac:dyDescent="0.3">
      <c r="A38" s="235"/>
      <c r="B38" s="125"/>
      <c r="C38" s="235"/>
      <c r="D38" s="236"/>
      <c r="E38" s="237"/>
      <c r="F38" s="238"/>
      <c r="G38" s="239"/>
      <c r="H38" s="240"/>
      <c r="I38" s="327" t="s">
        <v>337</v>
      </c>
      <c r="J38" s="328">
        <f>SUM(J27:J37)</f>
        <v>2054473.98</v>
      </c>
      <c r="K38" s="241"/>
      <c r="L38" s="187"/>
      <c r="M38" s="180"/>
    </row>
    <row r="39" spans="1:13" ht="25.5" customHeight="1" thickBot="1" x14ac:dyDescent="0.35">
      <c r="A39" s="235"/>
      <c r="B39" s="125"/>
      <c r="C39" s="235"/>
      <c r="D39" s="236"/>
      <c r="E39" s="237"/>
      <c r="F39" s="238"/>
      <c r="G39" s="239"/>
      <c r="H39" s="240"/>
      <c r="I39" s="327" t="s">
        <v>338</v>
      </c>
      <c r="J39" s="338">
        <v>2054400</v>
      </c>
      <c r="K39" s="241"/>
      <c r="L39" s="187"/>
      <c r="M39" s="180"/>
    </row>
    <row r="40" spans="1:13" ht="25.5" customHeight="1" thickTop="1" x14ac:dyDescent="0.3">
      <c r="A40" s="235"/>
      <c r="B40" s="125"/>
      <c r="C40" s="235"/>
      <c r="D40" s="236"/>
      <c r="E40" s="237"/>
      <c r="F40" s="238"/>
      <c r="G40" s="239"/>
      <c r="H40" s="329" t="s">
        <v>354</v>
      </c>
      <c r="I40" s="327"/>
      <c r="J40" s="330"/>
      <c r="K40" s="331"/>
      <c r="L40" s="187"/>
      <c r="M40" s="180"/>
    </row>
    <row r="41" spans="1:13" ht="21" customHeight="1" x14ac:dyDescent="0.2">
      <c r="A41" s="235"/>
      <c r="B41" s="125"/>
      <c r="C41" s="235"/>
      <c r="D41" s="236"/>
      <c r="E41" s="237"/>
      <c r="F41" s="238"/>
      <c r="G41" s="239"/>
      <c r="H41" s="240"/>
      <c r="I41" s="247"/>
      <c r="J41" s="238"/>
      <c r="K41" s="241"/>
      <c r="L41" s="187"/>
      <c r="M41" s="180"/>
    </row>
    <row r="42" spans="1:13" ht="21" customHeight="1" x14ac:dyDescent="0.2">
      <c r="A42" s="235"/>
      <c r="B42" s="125"/>
      <c r="C42" s="235"/>
      <c r="D42" s="236"/>
      <c r="E42" s="237"/>
      <c r="F42" s="238"/>
      <c r="G42" s="239"/>
      <c r="H42" s="240"/>
      <c r="I42" s="247"/>
      <c r="J42" s="238"/>
      <c r="K42" s="241"/>
      <c r="L42" s="187"/>
      <c r="M42" s="180"/>
    </row>
    <row r="43" spans="1:13" ht="16.5" customHeight="1" x14ac:dyDescent="0.2">
      <c r="A43" s="235"/>
      <c r="B43" s="125"/>
      <c r="C43" s="235"/>
      <c r="D43" s="236"/>
      <c r="E43" s="237"/>
      <c r="F43" s="238"/>
      <c r="G43" s="239"/>
      <c r="H43" s="240"/>
      <c r="I43" s="247"/>
      <c r="J43" s="238"/>
      <c r="K43" s="241"/>
      <c r="L43" s="187"/>
      <c r="M43" s="180"/>
    </row>
    <row r="44" spans="1:13" ht="21" customHeight="1" x14ac:dyDescent="0.2">
      <c r="A44" s="235"/>
      <c r="B44" s="125"/>
      <c r="C44" s="243" t="s">
        <v>242</v>
      </c>
      <c r="D44" s="236"/>
      <c r="E44" s="237"/>
      <c r="F44" s="238"/>
      <c r="G44" s="239"/>
      <c r="H44" s="251" t="s">
        <v>5</v>
      </c>
      <c r="I44" s="310">
        <f>G11+G13+G14+G16+G17+G19+G21+G22+G23+G24+G29+G30+G33+G35+G36+G37</f>
        <v>1507981.5500000003</v>
      </c>
      <c r="J44" s="238"/>
      <c r="K44" s="241"/>
      <c r="L44" s="187"/>
      <c r="M44" s="180"/>
    </row>
    <row r="45" spans="1:13" ht="21" customHeight="1" x14ac:dyDescent="0.2">
      <c r="A45" s="242"/>
      <c r="B45" s="243"/>
      <c r="C45" s="243" t="s">
        <v>243</v>
      </c>
      <c r="D45" s="236"/>
      <c r="E45" s="237"/>
      <c r="F45" s="238"/>
      <c r="G45" s="239"/>
      <c r="H45" s="251" t="s">
        <v>5</v>
      </c>
      <c r="I45" s="310">
        <v>0</v>
      </c>
      <c r="J45" s="238"/>
      <c r="K45" s="241"/>
      <c r="L45" s="187"/>
      <c r="M45" s="180"/>
    </row>
    <row r="46" spans="1:13" ht="21" customHeight="1" x14ac:dyDescent="0.2">
      <c r="A46" s="235"/>
      <c r="B46" s="235"/>
      <c r="C46" s="243" t="s">
        <v>244</v>
      </c>
      <c r="D46" s="236"/>
      <c r="E46" s="237"/>
      <c r="F46" s="238"/>
      <c r="G46" s="239"/>
      <c r="H46" s="251" t="s">
        <v>5</v>
      </c>
      <c r="I46" s="310">
        <v>0</v>
      </c>
      <c r="J46" s="238"/>
      <c r="K46" s="241"/>
      <c r="L46" s="187"/>
      <c r="M46" s="180"/>
    </row>
    <row r="47" spans="1:13" ht="3" customHeight="1" x14ac:dyDescent="0.2">
      <c r="A47" s="235"/>
      <c r="B47" s="235"/>
      <c r="C47" s="243"/>
      <c r="D47" s="236"/>
      <c r="E47" s="237"/>
      <c r="F47" s="238"/>
      <c r="G47" s="239"/>
      <c r="H47" s="251"/>
      <c r="I47" s="311"/>
      <c r="J47" s="238"/>
      <c r="K47" s="241"/>
      <c r="L47" s="187"/>
      <c r="M47" s="180"/>
    </row>
    <row r="48" spans="1:13" ht="21" customHeight="1" x14ac:dyDescent="0.2">
      <c r="A48" s="235"/>
      <c r="B48" s="235"/>
      <c r="C48" s="243" t="s">
        <v>61</v>
      </c>
      <c r="D48" s="236"/>
      <c r="E48" s="237"/>
      <c r="F48" s="238"/>
      <c r="G48" s="239"/>
      <c r="H48" s="251" t="s">
        <v>5</v>
      </c>
      <c r="I48" s="312">
        <v>1.3624000000000001</v>
      </c>
      <c r="J48" s="238"/>
      <c r="K48" s="241"/>
      <c r="L48" s="187"/>
      <c r="M48" s="180"/>
    </row>
    <row r="49" spans="1:13" ht="21" customHeight="1" x14ac:dyDescent="0.2">
      <c r="A49" s="235"/>
      <c r="B49" s="235"/>
      <c r="C49" s="243" t="s">
        <v>245</v>
      </c>
      <c r="D49" s="236"/>
      <c r="E49" s="237"/>
      <c r="F49" s="238"/>
      <c r="G49" s="239"/>
      <c r="H49" s="251" t="s">
        <v>5</v>
      </c>
      <c r="I49" s="312">
        <v>1.2782</v>
      </c>
      <c r="J49" s="238"/>
      <c r="K49" s="241"/>
      <c r="L49" s="187"/>
      <c r="M49" s="180"/>
    </row>
    <row r="50" spans="1:13" ht="21" customHeight="1" x14ac:dyDescent="0.2">
      <c r="A50" s="235"/>
      <c r="B50" s="235"/>
      <c r="C50" s="243"/>
      <c r="D50" s="236"/>
      <c r="E50" s="238"/>
      <c r="F50" s="239"/>
      <c r="G50" s="244"/>
      <c r="H50" s="240"/>
      <c r="I50" s="236"/>
      <c r="J50" s="245"/>
      <c r="K50" s="246"/>
      <c r="M50" s="180"/>
    </row>
    <row r="51" spans="1:13" ht="21" customHeight="1" x14ac:dyDescent="0.2">
      <c r="C51" s="332"/>
      <c r="D51"/>
      <c r="E51" s="333"/>
    </row>
    <row r="52" spans="1:13" ht="21" customHeight="1" x14ac:dyDescent="0.2">
      <c r="C52" s="335" t="s">
        <v>340</v>
      </c>
      <c r="D52" s="334" t="s">
        <v>339</v>
      </c>
      <c r="E52" s="334"/>
    </row>
    <row r="53" spans="1:13" ht="21" customHeight="1" x14ac:dyDescent="0.2">
      <c r="C53"/>
      <c r="D53"/>
      <c r="E53" s="333"/>
    </row>
    <row r="54" spans="1:13" ht="21" customHeight="1" x14ac:dyDescent="0.2">
      <c r="C54" s="332"/>
      <c r="D54"/>
      <c r="E54" s="333"/>
    </row>
    <row r="55" spans="1:13" ht="21.75" customHeight="1" x14ac:dyDescent="0.2">
      <c r="C55" s="337" t="s">
        <v>342</v>
      </c>
      <c r="D55" s="334" t="s">
        <v>341</v>
      </c>
      <c r="E55" s="334"/>
    </row>
    <row r="56" spans="1:13" ht="22.5" customHeight="1" x14ac:dyDescent="0.2">
      <c r="C56"/>
      <c r="D56"/>
      <c r="E56" s="333"/>
    </row>
    <row r="57" spans="1:13" ht="22.5" customHeight="1" x14ac:dyDescent="0.2">
      <c r="C57" s="332"/>
      <c r="D57"/>
      <c r="E57" s="333"/>
    </row>
    <row r="58" spans="1:13" ht="22.5" customHeight="1" x14ac:dyDescent="0.2">
      <c r="C58" s="336" t="s">
        <v>343</v>
      </c>
      <c r="D58" s="334" t="s">
        <v>341</v>
      </c>
      <c r="E58" s="334"/>
    </row>
  </sheetData>
  <mergeCells count="12">
    <mergeCell ref="B8:C9"/>
    <mergeCell ref="D8:D9"/>
    <mergeCell ref="A1:K1"/>
    <mergeCell ref="A5:B5"/>
    <mergeCell ref="G8:G9"/>
    <mergeCell ref="H8:H9"/>
    <mergeCell ref="E8:E9"/>
    <mergeCell ref="K8:K9"/>
    <mergeCell ref="I8:I9"/>
    <mergeCell ref="J8:J9"/>
    <mergeCell ref="F8:F9"/>
    <mergeCell ref="A8:A9"/>
  </mergeCells>
  <phoneticPr fontId="2" type="noConversion"/>
  <pageMargins left="0.23622047244094491" right="0.23622047244094491" top="0.29527559055118113" bottom="0.29527559055118113" header="0" footer="0.23622047244094491"/>
  <pageSetup paperSize="9" orientation="landscape" r:id="rId1"/>
  <headerFooter alignWithMargins="0">
    <oddHeader>&amp;R&amp;"TH SarabunPSK,ธรรมดา"&amp;12แผ่นที่ 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8"/>
  <sheetViews>
    <sheetView showGridLines="0" workbookViewId="0">
      <selection activeCell="W14" sqref="W14"/>
    </sheetView>
  </sheetViews>
  <sheetFormatPr defaultColWidth="0" defaultRowHeight="21.75" customHeight="1" zeroHeight="1" x14ac:dyDescent="0.3"/>
  <cols>
    <col min="1" max="1" width="6.7109375" style="1" customWidth="1"/>
    <col min="2" max="4" width="4.7109375" style="1" customWidth="1"/>
    <col min="5" max="5" width="3.7109375" style="1" customWidth="1"/>
    <col min="6" max="7" width="4.7109375" style="1" customWidth="1"/>
    <col min="8" max="8" width="1.7109375" style="1" customWidth="1"/>
    <col min="9" max="10" width="4.85546875" style="1" customWidth="1"/>
    <col min="11" max="14" width="4.7109375" style="1" customWidth="1"/>
    <col min="15" max="15" width="9.140625" style="1" customWidth="1"/>
    <col min="16" max="16" width="0.7109375" style="1" hidden="1" customWidth="1"/>
    <col min="17" max="17" width="5.42578125" style="1" customWidth="1"/>
    <col min="18" max="20" width="4.140625" style="1" customWidth="1"/>
    <col min="21" max="22" width="4.7109375" style="1" customWidth="1"/>
    <col min="23" max="23" width="9.140625" style="1" customWidth="1"/>
    <col min="24" max="16384" width="0" style="1" hidden="1"/>
  </cols>
  <sheetData>
    <row r="1" spans="1:22" ht="21" x14ac:dyDescent="0.3">
      <c r="A1" s="356" t="s">
        <v>78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</row>
    <row r="2" spans="1:22" ht="23.25" customHeight="1" x14ac:dyDescent="0.3">
      <c r="A2" s="357" t="s">
        <v>246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</row>
    <row r="3" spans="1:22" s="22" customFormat="1" ht="18.75" x14ac:dyDescent="0.2">
      <c r="A3" s="40" t="s">
        <v>28</v>
      </c>
      <c r="B3" s="41" t="s">
        <v>71</v>
      </c>
      <c r="C3" s="41"/>
      <c r="D3" s="41"/>
      <c r="E3" s="306" t="str">
        <f>ปร.4!C2</f>
        <v xml:space="preserve"> ประเภทงานทาง สะพาน และท่อเหลี่ยม</v>
      </c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</row>
    <row r="4" spans="1:22" s="22" customFormat="1" ht="18.75" x14ac:dyDescent="0.2">
      <c r="A4" s="43" t="s">
        <v>28</v>
      </c>
      <c r="B4" s="44" t="s">
        <v>72</v>
      </c>
      <c r="C4" s="44"/>
      <c r="D4" s="44"/>
      <c r="E4" s="57" t="str">
        <f>ปร.4!C3</f>
        <v xml:space="preserve"> วางท่อระบายน้ำถนนกลุ่มบ้านนายไสว ลาดนอก</v>
      </c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1:22" s="22" customFormat="1" ht="18.75" x14ac:dyDescent="0.2">
      <c r="A5" s="43" t="s">
        <v>28</v>
      </c>
      <c r="B5" s="44" t="s">
        <v>29</v>
      </c>
      <c r="C5" s="44"/>
      <c r="D5" s="44"/>
      <c r="E5" s="323" t="str">
        <f>ปร.4!C4</f>
        <v xml:space="preserve"> ตำบลเขาฉกรรจ์ อำเภอเขาฉกรรจ์ จังหวัดสระแก้ว</v>
      </c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</row>
    <row r="6" spans="1:22" s="22" customFormat="1" ht="21.75" customHeight="1" x14ac:dyDescent="0.2">
      <c r="A6" s="43" t="s">
        <v>28</v>
      </c>
      <c r="B6" s="47" t="s">
        <v>30</v>
      </c>
      <c r="C6" s="47"/>
      <c r="D6" s="47"/>
      <c r="E6" s="324" t="str">
        <f>ปร.4!F4</f>
        <v xml:space="preserve"> /2563</v>
      </c>
      <c r="F6" s="48"/>
      <c r="G6" s="48"/>
      <c r="H6" s="48"/>
      <c r="I6" s="48"/>
      <c r="J6" s="48"/>
      <c r="K6" s="48"/>
      <c r="L6" s="49" t="s">
        <v>31</v>
      </c>
      <c r="M6" s="48"/>
      <c r="N6" s="48"/>
      <c r="O6" s="48" t="str">
        <f>ปร.4!J4</f>
        <v xml:space="preserve"> - </v>
      </c>
      <c r="P6" s="48"/>
      <c r="Q6" s="48"/>
      <c r="R6" s="48"/>
      <c r="S6" s="48"/>
      <c r="T6" s="48"/>
      <c r="U6" s="48"/>
      <c r="V6" s="48"/>
    </row>
    <row r="7" spans="1:22" s="22" customFormat="1" ht="21.75" customHeight="1" x14ac:dyDescent="0.2">
      <c r="A7" s="43" t="s">
        <v>28</v>
      </c>
      <c r="B7" s="44" t="s">
        <v>27</v>
      </c>
      <c r="C7" s="44"/>
      <c r="D7" s="50"/>
      <c r="E7" s="59" t="str">
        <f>ปร.4!C5</f>
        <v xml:space="preserve"> ฝ่ายแบบแผนและก่อสร้าง</v>
      </c>
      <c r="F7" s="50"/>
      <c r="G7" s="50"/>
      <c r="H7" s="50"/>
      <c r="I7" s="50"/>
      <c r="J7" s="44" t="s">
        <v>69</v>
      </c>
      <c r="K7" s="44"/>
      <c r="L7" s="59" t="str">
        <f>ปร.4!F5</f>
        <v xml:space="preserve"> ช่าง เทศบาลตำบลเขาฉกรรจ์</v>
      </c>
      <c r="M7" s="52"/>
      <c r="N7" s="52"/>
      <c r="O7" s="53"/>
      <c r="P7" s="52"/>
      <c r="Q7" s="53" t="s">
        <v>54</v>
      </c>
      <c r="R7" s="59" t="str">
        <f>ปร.4!J5</f>
        <v xml:space="preserve"> กรมส่งเสริมการปกครองท้องถิ่น</v>
      </c>
      <c r="S7" s="51"/>
      <c r="T7" s="52"/>
      <c r="U7" s="52"/>
      <c r="V7" s="52"/>
    </row>
    <row r="8" spans="1:22" s="24" customFormat="1" ht="18.75" x14ac:dyDescent="0.2">
      <c r="A8" s="43" t="s">
        <v>28</v>
      </c>
      <c r="B8" s="44" t="s">
        <v>73</v>
      </c>
      <c r="C8" s="44"/>
      <c r="D8" s="44"/>
      <c r="E8" s="44"/>
      <c r="F8" s="55"/>
      <c r="G8" s="325" t="str">
        <f>ปร.4!G6</f>
        <v xml:space="preserve"> 30 เดือน เมษายน พ.ศ. 2563</v>
      </c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</row>
    <row r="9" spans="1:22" s="24" customFormat="1" ht="19.5" thickBot="1" x14ac:dyDescent="0.25">
      <c r="A9" s="75"/>
      <c r="B9" s="76"/>
      <c r="C9" s="76"/>
      <c r="D9" s="76"/>
      <c r="E9" s="76"/>
      <c r="F9" s="77"/>
      <c r="G9" s="78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</row>
    <row r="10" spans="1:22" ht="43.5" customHeight="1" thickTop="1" thickBot="1" x14ac:dyDescent="0.35">
      <c r="A10" s="79" t="s">
        <v>22</v>
      </c>
      <c r="B10" s="358" t="s">
        <v>0</v>
      </c>
      <c r="C10" s="358"/>
      <c r="D10" s="358"/>
      <c r="E10" s="358"/>
      <c r="F10" s="358"/>
      <c r="G10" s="358"/>
      <c r="H10" s="358"/>
      <c r="I10" s="358"/>
      <c r="J10" s="358"/>
      <c r="K10" s="366" t="s">
        <v>33</v>
      </c>
      <c r="L10" s="358"/>
      <c r="M10" s="358"/>
      <c r="N10" s="358"/>
      <c r="O10" s="358" t="s">
        <v>34</v>
      </c>
      <c r="P10" s="358"/>
      <c r="Q10" s="358"/>
      <c r="R10" s="367" t="s">
        <v>35</v>
      </c>
      <c r="S10" s="368"/>
      <c r="T10" s="368"/>
      <c r="U10" s="358" t="s">
        <v>2</v>
      </c>
      <c r="V10" s="358"/>
    </row>
    <row r="11" spans="1:22" ht="19.5" thickTop="1" x14ac:dyDescent="0.3">
      <c r="A11" s="16">
        <v>1</v>
      </c>
      <c r="B11" s="359" t="s">
        <v>36</v>
      </c>
      <c r="C11" s="359"/>
      <c r="D11" s="359"/>
      <c r="E11" s="359"/>
      <c r="F11" s="359"/>
      <c r="G11" s="359"/>
      <c r="H11" s="359"/>
      <c r="I11" s="359"/>
      <c r="J11" s="359"/>
      <c r="K11" s="360">
        <f>ปร.4!I44</f>
        <v>1507981.5500000003</v>
      </c>
      <c r="L11" s="360"/>
      <c r="M11" s="360"/>
      <c r="N11" s="360"/>
      <c r="O11" s="361">
        <f>ปร.4!I48</f>
        <v>1.3624000000000001</v>
      </c>
      <c r="P11" s="361"/>
      <c r="Q11" s="361"/>
      <c r="R11" s="362">
        <f>K11*O11</f>
        <v>2054474.0637200004</v>
      </c>
      <c r="S11" s="363"/>
      <c r="T11" s="364"/>
      <c r="U11" s="365"/>
      <c r="V11" s="365"/>
    </row>
    <row r="12" spans="1:22" ht="18.75" x14ac:dyDescent="0.3">
      <c r="A12" s="17"/>
      <c r="B12" s="369"/>
      <c r="C12" s="369"/>
      <c r="D12" s="369"/>
      <c r="E12" s="369"/>
      <c r="F12" s="369"/>
      <c r="G12" s="369"/>
      <c r="H12" s="369"/>
      <c r="I12" s="369"/>
      <c r="J12" s="369"/>
      <c r="K12" s="370"/>
      <c r="L12" s="370"/>
      <c r="M12" s="370"/>
      <c r="N12" s="370"/>
      <c r="O12" s="371"/>
      <c r="P12" s="371"/>
      <c r="Q12" s="371"/>
      <c r="R12" s="372"/>
      <c r="S12" s="373"/>
      <c r="T12" s="374"/>
      <c r="U12" s="375"/>
      <c r="V12" s="375"/>
    </row>
    <row r="13" spans="1:22" ht="18.75" x14ac:dyDescent="0.3">
      <c r="A13" s="17"/>
      <c r="B13" s="376" t="s">
        <v>37</v>
      </c>
      <c r="C13" s="377"/>
      <c r="D13" s="377"/>
      <c r="E13" s="377"/>
      <c r="F13" s="377"/>
      <c r="G13" s="377"/>
      <c r="H13" s="377"/>
      <c r="I13" s="377"/>
      <c r="J13" s="378"/>
      <c r="K13" s="370"/>
      <c r="L13" s="370"/>
      <c r="M13" s="370"/>
      <c r="N13" s="370"/>
      <c r="O13" s="371"/>
      <c r="P13" s="371"/>
      <c r="Q13" s="371"/>
      <c r="R13" s="379"/>
      <c r="S13" s="380"/>
      <c r="T13" s="381"/>
      <c r="U13" s="375"/>
      <c r="V13" s="375"/>
    </row>
    <row r="14" spans="1:22" ht="18.75" x14ac:dyDescent="0.3">
      <c r="A14" s="17"/>
      <c r="B14" s="392" t="s">
        <v>38</v>
      </c>
      <c r="C14" s="392"/>
      <c r="D14" s="392"/>
      <c r="E14" s="392"/>
      <c r="F14" s="392"/>
      <c r="G14" s="392"/>
      <c r="H14" s="393"/>
      <c r="I14" s="394">
        <v>0</v>
      </c>
      <c r="J14" s="395"/>
      <c r="K14" s="370"/>
      <c r="L14" s="370"/>
      <c r="M14" s="370"/>
      <c r="N14" s="370"/>
      <c r="O14" s="371"/>
      <c r="P14" s="371"/>
      <c r="Q14" s="371"/>
      <c r="R14" s="379"/>
      <c r="S14" s="380"/>
      <c r="T14" s="381"/>
      <c r="U14" s="375"/>
      <c r="V14" s="375"/>
    </row>
    <row r="15" spans="1:22" ht="18.75" x14ac:dyDescent="0.3">
      <c r="A15" s="18"/>
      <c r="B15" s="382" t="s">
        <v>39</v>
      </c>
      <c r="C15" s="382"/>
      <c r="D15" s="382"/>
      <c r="E15" s="382"/>
      <c r="F15" s="382"/>
      <c r="G15" s="382"/>
      <c r="H15" s="383"/>
      <c r="I15" s="384">
        <v>0</v>
      </c>
      <c r="J15" s="385"/>
      <c r="K15" s="370"/>
      <c r="L15" s="370"/>
      <c r="M15" s="370"/>
      <c r="N15" s="370"/>
      <c r="O15" s="371"/>
      <c r="P15" s="371"/>
      <c r="Q15" s="371"/>
      <c r="R15" s="379"/>
      <c r="S15" s="380"/>
      <c r="T15" s="381"/>
      <c r="U15" s="375"/>
      <c r="V15" s="375"/>
    </row>
    <row r="16" spans="1:22" ht="18.75" x14ac:dyDescent="0.3">
      <c r="A16" s="18"/>
      <c r="B16" s="382" t="s">
        <v>40</v>
      </c>
      <c r="C16" s="382"/>
      <c r="D16" s="382"/>
      <c r="E16" s="382"/>
      <c r="F16" s="382"/>
      <c r="G16" s="382"/>
      <c r="H16" s="383"/>
      <c r="I16" s="384">
        <v>6</v>
      </c>
      <c r="J16" s="385"/>
      <c r="K16" s="370"/>
      <c r="L16" s="370"/>
      <c r="M16" s="370"/>
      <c r="N16" s="370"/>
      <c r="O16" s="371"/>
      <c r="P16" s="371"/>
      <c r="Q16" s="371"/>
      <c r="R16" s="379"/>
      <c r="S16" s="380"/>
      <c r="T16" s="381"/>
      <c r="U16" s="375"/>
      <c r="V16" s="375"/>
    </row>
    <row r="17" spans="1:22" ht="18.75" x14ac:dyDescent="0.3">
      <c r="A17" s="19"/>
      <c r="B17" s="396" t="s">
        <v>41</v>
      </c>
      <c r="C17" s="396"/>
      <c r="D17" s="396"/>
      <c r="E17" s="396"/>
      <c r="F17" s="396"/>
      <c r="G17" s="396"/>
      <c r="H17" s="397"/>
      <c r="I17" s="398">
        <v>7</v>
      </c>
      <c r="J17" s="399"/>
      <c r="K17" s="400"/>
      <c r="L17" s="400"/>
      <c r="M17" s="400"/>
      <c r="N17" s="400"/>
      <c r="O17" s="401"/>
      <c r="P17" s="401"/>
      <c r="Q17" s="401"/>
      <c r="R17" s="388"/>
      <c r="S17" s="389"/>
      <c r="T17" s="390"/>
      <c r="U17" s="391"/>
      <c r="V17" s="391"/>
    </row>
    <row r="18" spans="1:22" ht="18.75" x14ac:dyDescent="0.3">
      <c r="A18" s="20" t="s">
        <v>42</v>
      </c>
      <c r="B18" s="402" t="s">
        <v>43</v>
      </c>
      <c r="C18" s="403"/>
      <c r="D18" s="403"/>
      <c r="E18" s="403"/>
      <c r="F18" s="403"/>
      <c r="G18" s="403"/>
      <c r="H18" s="403"/>
      <c r="I18" s="403"/>
      <c r="J18" s="403"/>
      <c r="K18" s="403"/>
      <c r="L18" s="403"/>
      <c r="M18" s="403"/>
      <c r="N18" s="403"/>
      <c r="O18" s="403"/>
      <c r="P18" s="403"/>
      <c r="Q18" s="404"/>
      <c r="R18" s="406">
        <f>SUM(R11:R17)</f>
        <v>2054474.0637200004</v>
      </c>
      <c r="S18" s="407"/>
      <c r="T18" s="408"/>
      <c r="U18" s="409"/>
      <c r="V18" s="410"/>
    </row>
    <row r="19" spans="1:22" ht="19.5" thickBot="1" x14ac:dyDescent="0.35">
      <c r="A19" s="19"/>
      <c r="B19" s="411" t="s">
        <v>44</v>
      </c>
      <c r="C19" s="412"/>
      <c r="D19" s="412"/>
      <c r="E19" s="412"/>
      <c r="F19" s="405" t="str">
        <f>"( "&amp;(BAHTTEXT(R19))&amp;")"</f>
        <v>( สองล้านห้าหมื่นสี่พันสี่ร้อยบาทถ้วน)</v>
      </c>
      <c r="G19" s="405"/>
      <c r="H19" s="405"/>
      <c r="I19" s="405"/>
      <c r="J19" s="405"/>
      <c r="K19" s="405"/>
      <c r="L19" s="405"/>
      <c r="M19" s="405"/>
      <c r="N19" s="405"/>
      <c r="O19" s="405"/>
      <c r="P19" s="405"/>
      <c r="Q19" s="413"/>
      <c r="R19" s="414">
        <v>2054400</v>
      </c>
      <c r="S19" s="415"/>
      <c r="T19" s="416"/>
      <c r="U19" s="386" t="s">
        <v>45</v>
      </c>
      <c r="V19" s="387"/>
    </row>
    <row r="20" spans="1:22" ht="19.5" thickTop="1" x14ac:dyDescent="0.3">
      <c r="A20" s="15" t="s">
        <v>28</v>
      </c>
      <c r="B20" s="417" t="s">
        <v>46</v>
      </c>
      <c r="C20" s="417"/>
      <c r="D20" s="417"/>
      <c r="E20" s="417"/>
      <c r="F20" s="417"/>
      <c r="G20" s="418">
        <v>1410</v>
      </c>
      <c r="H20" s="418"/>
      <c r="I20" s="418"/>
      <c r="J20" s="419" t="s">
        <v>47</v>
      </c>
      <c r="K20" s="419"/>
      <c r="L20" s="419"/>
      <c r="M20" s="420"/>
      <c r="N20" s="420"/>
      <c r="O20" s="420"/>
      <c r="P20" s="420"/>
      <c r="Q20" s="420"/>
      <c r="R20" s="420"/>
      <c r="S20" s="420"/>
      <c r="T20" s="420"/>
      <c r="U20" s="420"/>
      <c r="V20" s="420"/>
    </row>
    <row r="21" spans="1:22" ht="18.75" x14ac:dyDescent="0.3">
      <c r="A21" s="21" t="s">
        <v>28</v>
      </c>
      <c r="B21" s="421" t="s">
        <v>48</v>
      </c>
      <c r="C21" s="421"/>
      <c r="D21" s="421"/>
      <c r="E21" s="421"/>
      <c r="F21" s="421"/>
      <c r="G21" s="422">
        <f>R19/G20</f>
        <v>1457.0212765957447</v>
      </c>
      <c r="H21" s="422"/>
      <c r="I21" s="422"/>
      <c r="J21" s="423" t="s">
        <v>49</v>
      </c>
      <c r="K21" s="423"/>
      <c r="L21" s="423"/>
      <c r="M21" s="405"/>
      <c r="N21" s="405"/>
      <c r="O21" s="405"/>
      <c r="P21" s="405"/>
      <c r="Q21" s="405"/>
      <c r="R21" s="405"/>
      <c r="S21" s="405"/>
      <c r="T21" s="405"/>
      <c r="U21" s="405"/>
      <c r="V21" s="405"/>
    </row>
    <row r="22" spans="1:22" s="22" customFormat="1" ht="18.75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</row>
    <row r="23" spans="1:22" s="22" customFormat="1" ht="21" x14ac:dyDescent="0.2">
      <c r="A23" s="124"/>
      <c r="B23" s="124"/>
      <c r="C23" s="124"/>
      <c r="D23" s="124"/>
      <c r="E23" s="124"/>
      <c r="F23" s="354" t="s">
        <v>344</v>
      </c>
      <c r="G23" s="355"/>
      <c r="H23" s="355"/>
      <c r="I23" s="355"/>
      <c r="J23" s="355"/>
      <c r="K23" s="355"/>
      <c r="L23" s="355"/>
      <c r="M23" s="355"/>
      <c r="N23" s="355"/>
      <c r="O23" s="355"/>
      <c r="P23" s="124"/>
      <c r="Q23" s="124"/>
      <c r="R23" s="124"/>
      <c r="S23" s="124"/>
      <c r="T23" s="124"/>
      <c r="U23" s="124"/>
      <c r="V23" s="124"/>
    </row>
    <row r="24" spans="1:22" s="22" customFormat="1" ht="21" x14ac:dyDescent="0.2">
      <c r="A24" s="124"/>
      <c r="B24" s="124"/>
      <c r="C24" s="124"/>
      <c r="D24" s="124"/>
      <c r="E24" s="124"/>
      <c r="F24" s="340"/>
      <c r="G24" s="341"/>
      <c r="H24" s="341"/>
      <c r="I24" s="341"/>
      <c r="J24" s="341"/>
      <c r="K24" s="341"/>
      <c r="L24" s="341"/>
      <c r="M24" s="341"/>
      <c r="N24" s="341"/>
      <c r="O24" s="341"/>
      <c r="P24" s="124"/>
      <c r="Q24" s="124"/>
      <c r="R24" s="124"/>
      <c r="S24" s="124"/>
      <c r="T24" s="124"/>
      <c r="U24" s="124"/>
      <c r="V24" s="124"/>
    </row>
    <row r="25" spans="1:22" s="22" customFormat="1" ht="18.75" x14ac:dyDescent="0.2">
      <c r="A25" s="124"/>
      <c r="B25" s="124"/>
      <c r="C25" s="124"/>
      <c r="D25" s="124"/>
      <c r="E25" s="124"/>
      <c r="F25" s="353" t="s">
        <v>351</v>
      </c>
      <c r="G25" s="353"/>
      <c r="H25" s="353"/>
      <c r="I25" s="353"/>
      <c r="J25" s="353"/>
      <c r="K25" s="353"/>
      <c r="L25" s="353"/>
      <c r="M25" s="353"/>
      <c r="N25" s="353"/>
      <c r="O25" s="353"/>
      <c r="P25" s="124"/>
      <c r="Q25" s="124"/>
      <c r="R25" s="124"/>
      <c r="S25" s="124"/>
      <c r="T25" s="124"/>
      <c r="U25" s="124"/>
      <c r="V25" s="124"/>
    </row>
    <row r="26" spans="1:22" s="22" customFormat="1" ht="18.75" x14ac:dyDescent="0.2">
      <c r="A26" s="124"/>
      <c r="B26" s="124"/>
      <c r="C26" s="124"/>
      <c r="D26" s="124"/>
      <c r="E26" s="124"/>
      <c r="F26" s="353" t="s">
        <v>345</v>
      </c>
      <c r="G26" s="353"/>
      <c r="H26" s="353"/>
      <c r="I26" s="353"/>
      <c r="J26" s="353"/>
      <c r="K26" s="353"/>
      <c r="L26" s="353"/>
      <c r="M26" s="353"/>
      <c r="N26" s="353"/>
      <c r="O26" s="353"/>
      <c r="P26" s="124"/>
      <c r="Q26" s="124"/>
      <c r="R26" s="124"/>
      <c r="S26" s="124"/>
      <c r="T26" s="124"/>
      <c r="U26" s="124"/>
      <c r="V26" s="124"/>
    </row>
    <row r="27" spans="1:22" s="22" customFormat="1" ht="18.75" x14ac:dyDescent="0.2">
      <c r="A27" s="124"/>
      <c r="B27" s="124"/>
      <c r="C27" s="124"/>
      <c r="D27" s="124"/>
      <c r="E27" s="124"/>
      <c r="F27" s="353" t="s">
        <v>347</v>
      </c>
      <c r="G27" s="353"/>
      <c r="H27" s="353"/>
      <c r="I27" s="353"/>
      <c r="J27" s="353"/>
      <c r="K27" s="353"/>
      <c r="L27" s="353"/>
      <c r="M27" s="353"/>
      <c r="N27" s="353"/>
      <c r="O27" s="353"/>
      <c r="P27" s="124"/>
      <c r="Q27" s="124"/>
      <c r="R27" s="124"/>
      <c r="S27" s="124"/>
      <c r="T27" s="124"/>
      <c r="U27" s="124"/>
      <c r="V27" s="124"/>
    </row>
    <row r="28" spans="1:22" s="22" customFormat="1" ht="18.75" x14ac:dyDescent="0.2">
      <c r="A28" s="124"/>
      <c r="B28" s="124"/>
      <c r="C28" s="124"/>
      <c r="D28" s="124"/>
      <c r="E28" s="124"/>
      <c r="F28" s="353" t="s">
        <v>346</v>
      </c>
      <c r="G28" s="353"/>
      <c r="H28" s="353"/>
      <c r="I28" s="353"/>
      <c r="J28" s="353"/>
      <c r="K28" s="353"/>
      <c r="L28" s="353"/>
      <c r="M28" s="353"/>
      <c r="N28" s="353"/>
      <c r="O28" s="353"/>
      <c r="P28" s="124"/>
      <c r="Q28" s="124"/>
      <c r="R28" s="124"/>
      <c r="S28" s="124"/>
      <c r="T28" s="124"/>
      <c r="U28" s="124"/>
      <c r="V28" s="124"/>
    </row>
    <row r="29" spans="1:22" s="22" customFormat="1" ht="18.75" x14ac:dyDescent="0.2">
      <c r="A29" s="124"/>
      <c r="B29" s="124"/>
      <c r="C29" s="124"/>
      <c r="D29" s="124"/>
      <c r="E29" s="124"/>
      <c r="F29" s="353" t="s">
        <v>350</v>
      </c>
      <c r="G29" s="353"/>
      <c r="H29" s="353"/>
      <c r="I29" s="353"/>
      <c r="J29" s="353"/>
      <c r="K29" s="353"/>
      <c r="L29" s="353"/>
      <c r="M29" s="353"/>
      <c r="N29" s="353"/>
      <c r="O29" s="353"/>
      <c r="P29" s="124"/>
      <c r="Q29" s="124"/>
      <c r="R29" s="124"/>
      <c r="S29" s="124"/>
      <c r="T29" s="124"/>
      <c r="U29" s="124"/>
      <c r="V29" s="124"/>
    </row>
    <row r="30" spans="1:22" s="22" customFormat="1" ht="18.75" x14ac:dyDescent="0.2">
      <c r="A30" s="124"/>
      <c r="B30" s="124"/>
      <c r="C30" s="124"/>
      <c r="D30" s="124"/>
      <c r="E30" s="124"/>
      <c r="F30" s="353" t="s">
        <v>348</v>
      </c>
      <c r="G30" s="353"/>
      <c r="H30" s="353"/>
      <c r="I30" s="353"/>
      <c r="J30" s="353"/>
      <c r="K30" s="353"/>
      <c r="L30" s="353"/>
      <c r="M30" s="353"/>
      <c r="N30" s="353"/>
      <c r="O30" s="353"/>
      <c r="P30" s="124"/>
      <c r="Q30" s="124"/>
      <c r="R30" s="124"/>
      <c r="S30" s="124"/>
      <c r="T30" s="124"/>
      <c r="U30" s="124"/>
      <c r="V30" s="124"/>
    </row>
    <row r="31" spans="1:22" s="22" customFormat="1" ht="18.75" x14ac:dyDescent="0.2">
      <c r="A31" s="124"/>
      <c r="B31" s="124"/>
      <c r="C31" s="124"/>
      <c r="D31" s="124"/>
      <c r="E31" s="124"/>
      <c r="F31" s="353" t="s">
        <v>346</v>
      </c>
      <c r="G31" s="353"/>
      <c r="H31" s="353"/>
      <c r="I31" s="353"/>
      <c r="J31" s="353"/>
      <c r="K31" s="353"/>
      <c r="L31" s="353"/>
      <c r="M31" s="353"/>
      <c r="N31" s="353"/>
      <c r="O31" s="353"/>
      <c r="P31" s="124"/>
      <c r="Q31" s="124"/>
      <c r="R31" s="124"/>
      <c r="S31" s="124"/>
      <c r="T31" s="124"/>
      <c r="U31" s="124"/>
      <c r="V31" s="124"/>
    </row>
    <row r="32" spans="1:22" s="22" customFormat="1" ht="18.75" x14ac:dyDescent="0.2">
      <c r="A32" s="124"/>
      <c r="B32" s="124"/>
      <c r="C32" s="124"/>
      <c r="D32" s="124"/>
      <c r="E32" s="124"/>
      <c r="F32" s="353" t="s">
        <v>349</v>
      </c>
      <c r="G32" s="353"/>
      <c r="H32" s="353"/>
      <c r="I32" s="353"/>
      <c r="J32" s="353"/>
      <c r="K32" s="353"/>
      <c r="L32" s="353"/>
      <c r="M32" s="353"/>
      <c r="N32" s="353"/>
      <c r="O32" s="353"/>
      <c r="P32" s="124"/>
      <c r="Q32" s="124"/>
      <c r="R32" s="124"/>
      <c r="S32" s="124"/>
      <c r="T32" s="124"/>
      <c r="U32" s="124"/>
      <c r="V32" s="124"/>
    </row>
    <row r="33" spans="1:22" s="22" customFormat="1" ht="18.75" x14ac:dyDescent="0.2">
      <c r="A33" s="124"/>
      <c r="B33" s="124"/>
      <c r="C33" s="124"/>
      <c r="D33" s="124"/>
      <c r="E33" s="124"/>
      <c r="F33" s="353" t="s">
        <v>348</v>
      </c>
      <c r="G33" s="353"/>
      <c r="H33" s="353"/>
      <c r="I33" s="353"/>
      <c r="J33" s="353"/>
      <c r="K33" s="353"/>
      <c r="L33" s="353"/>
      <c r="M33" s="353"/>
      <c r="N33" s="353"/>
      <c r="O33" s="353"/>
      <c r="P33" s="124"/>
      <c r="Q33" s="124"/>
      <c r="R33" s="124"/>
      <c r="S33" s="124"/>
      <c r="T33" s="124"/>
      <c r="U33" s="124"/>
      <c r="V33" s="124"/>
    </row>
    <row r="34" spans="1:22" s="22" customFormat="1" ht="18.75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</row>
    <row r="35" spans="1:22" s="22" customFormat="1" ht="18.75" x14ac:dyDescent="0.2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</row>
    <row r="36" spans="1:22" s="22" customFormat="1" ht="18.75" x14ac:dyDescent="0.2">
      <c r="A36" s="124"/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</row>
    <row r="37" spans="1:22" s="22" customFormat="1" ht="18.75" x14ac:dyDescent="0.2">
      <c r="A37" s="124"/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</row>
    <row r="38" spans="1:22" s="22" customFormat="1" ht="18.75" x14ac:dyDescent="0.2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7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</row>
    <row r="39" spans="1:22" s="22" customFormat="1" ht="18.75" x14ac:dyDescent="0.2">
      <c r="A39" s="124"/>
      <c r="B39" s="124"/>
      <c r="C39" s="124"/>
      <c r="D39" s="124"/>
      <c r="E39" s="124"/>
      <c r="F39" s="124"/>
      <c r="G39" s="124"/>
      <c r="H39" s="124"/>
      <c r="I39" s="124"/>
      <c r="J39" s="124"/>
      <c r="K39" s="128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</row>
    <row r="40" spans="1:22" ht="18.75" x14ac:dyDescent="0.3">
      <c r="A40" s="129"/>
      <c r="B40" s="129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</row>
    <row r="41" spans="1:22" ht="18.75" x14ac:dyDescent="0.3">
      <c r="A41" s="129"/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</row>
    <row r="42" spans="1:22" ht="18.75" x14ac:dyDescent="0.3"/>
    <row r="43" spans="1:22" ht="18.75" x14ac:dyDescent="0.3"/>
    <row r="44" spans="1:22" ht="18.75" x14ac:dyDescent="0.3"/>
    <row r="45" spans="1:22" ht="18.75" x14ac:dyDescent="0.3"/>
    <row r="46" spans="1:22" ht="18.75" x14ac:dyDescent="0.3"/>
    <row r="47" spans="1:22" ht="18.75" x14ac:dyDescent="0.3"/>
    <row r="48" spans="1:22" ht="18.75" x14ac:dyDescent="0.3"/>
    <row r="49" ht="18.75" x14ac:dyDescent="0.3"/>
    <row r="50" ht="18.75" x14ac:dyDescent="0.3"/>
    <row r="51" ht="18.75" x14ac:dyDescent="0.3"/>
    <row r="52" ht="18.75" x14ac:dyDescent="0.3"/>
    <row r="53" ht="18.75" x14ac:dyDescent="0.3"/>
    <row r="54" ht="18.75" x14ac:dyDescent="0.3"/>
    <row r="55" ht="18.75" x14ac:dyDescent="0.3"/>
    <row r="56" ht="18.75" x14ac:dyDescent="0.3"/>
    <row r="57" ht="18.75" x14ac:dyDescent="0.3"/>
    <row r="58" ht="18.75" x14ac:dyDescent="0.3"/>
    <row r="59" ht="18.75" x14ac:dyDescent="0.3"/>
    <row r="60" ht="18.75" x14ac:dyDescent="0.3"/>
    <row r="61" ht="18.75" x14ac:dyDescent="0.3"/>
    <row r="62" ht="18.75" x14ac:dyDescent="0.3"/>
    <row r="63" ht="18.75" x14ac:dyDescent="0.3"/>
    <row r="64" ht="18.75" x14ac:dyDescent="0.3"/>
    <row r="65" ht="18.75" x14ac:dyDescent="0.3"/>
    <row r="66" ht="18.75" x14ac:dyDescent="0.3"/>
    <row r="67" ht="18.75" x14ac:dyDescent="0.3"/>
    <row r="68" ht="18.75" x14ac:dyDescent="0.3"/>
    <row r="69" ht="18.75" x14ac:dyDescent="0.3"/>
    <row r="70" ht="18.75" x14ac:dyDescent="0.3"/>
    <row r="71" ht="18.75" x14ac:dyDescent="0.3"/>
    <row r="72" ht="18.75" x14ac:dyDescent="0.3"/>
    <row r="73" ht="18.75" x14ac:dyDescent="0.3"/>
    <row r="74" ht="18.75" x14ac:dyDescent="0.3"/>
    <row r="75" ht="18.75" x14ac:dyDescent="0.3"/>
    <row r="76" ht="18.75" x14ac:dyDescent="0.3"/>
    <row r="77" ht="18.75" x14ac:dyDescent="0.3"/>
    <row r="78" ht="18.75" x14ac:dyDescent="0.3"/>
    <row r="79" ht="18.75" x14ac:dyDescent="0.3"/>
    <row r="80" ht="18.75" x14ac:dyDescent="0.3"/>
    <row r="81" ht="18.75" x14ac:dyDescent="0.3"/>
    <row r="82" ht="18.75" x14ac:dyDescent="0.3"/>
    <row r="83" ht="18.75" x14ac:dyDescent="0.3"/>
    <row r="84" ht="18.75" x14ac:dyDescent="0.3"/>
    <row r="85" ht="18.75" x14ac:dyDescent="0.3"/>
    <row r="86" ht="18.75" x14ac:dyDescent="0.3"/>
    <row r="87" ht="18.75" x14ac:dyDescent="0.3"/>
    <row r="88" ht="18.75" x14ac:dyDescent="0.3"/>
    <row r="89" ht="18.75" x14ac:dyDescent="0.3"/>
    <row r="90" ht="18.75" x14ac:dyDescent="0.3"/>
    <row r="91" ht="18.75" x14ac:dyDescent="0.3"/>
    <row r="92" ht="18.75" x14ac:dyDescent="0.3"/>
    <row r="93" ht="18.75" x14ac:dyDescent="0.3"/>
    <row r="94" ht="18.75" x14ac:dyDescent="0.3"/>
    <row r="95" ht="18.75" x14ac:dyDescent="0.3"/>
    <row r="96" ht="18.75" x14ac:dyDescent="0.3"/>
    <row r="97" ht="18.75" x14ac:dyDescent="0.3"/>
    <row r="98" ht="18.75" x14ac:dyDescent="0.3"/>
    <row r="99" ht="18.75" x14ac:dyDescent="0.3"/>
    <row r="100" ht="18.75" x14ac:dyDescent="0.3"/>
    <row r="101" ht="18.75" x14ac:dyDescent="0.3"/>
    <row r="102" ht="18.75" x14ac:dyDescent="0.3"/>
    <row r="103" ht="18.75" x14ac:dyDescent="0.3"/>
    <row r="104" ht="18.75" x14ac:dyDescent="0.3"/>
    <row r="105" ht="18.75" x14ac:dyDescent="0.3"/>
    <row r="106" ht="18.75" x14ac:dyDescent="0.3"/>
    <row r="107" ht="18.75" x14ac:dyDescent="0.3"/>
    <row r="108" ht="18.75" x14ac:dyDescent="0.3"/>
    <row r="109" ht="18.75" x14ac:dyDescent="0.3"/>
    <row r="110" ht="18.75" x14ac:dyDescent="0.3"/>
    <row r="111" ht="18.75" x14ac:dyDescent="0.3"/>
    <row r="112" ht="18.75" x14ac:dyDescent="0.3"/>
    <row r="113" ht="18.75" x14ac:dyDescent="0.3"/>
    <row r="114" ht="18.75" x14ac:dyDescent="0.3"/>
    <row r="115" ht="18.75" x14ac:dyDescent="0.3"/>
    <row r="116" ht="18.75" x14ac:dyDescent="0.3"/>
    <row r="117" ht="18.75" x14ac:dyDescent="0.3"/>
    <row r="118" ht="18.75" x14ac:dyDescent="0.3"/>
    <row r="119" ht="18.75" x14ac:dyDescent="0.3"/>
    <row r="120" ht="18.75" x14ac:dyDescent="0.3"/>
    <row r="121" ht="18.75" x14ac:dyDescent="0.3"/>
    <row r="122" ht="18.75" x14ac:dyDescent="0.3"/>
    <row r="123" ht="21.75" customHeight="1" x14ac:dyDescent="0.3"/>
    <row r="124" ht="21.75" customHeight="1" x14ac:dyDescent="0.3"/>
    <row r="125" ht="21.75" customHeight="1" x14ac:dyDescent="0.3"/>
    <row r="126" ht="21.75" customHeight="1" x14ac:dyDescent="0.3"/>
    <row r="127" ht="21.75" customHeight="1" x14ac:dyDescent="0.3"/>
    <row r="128" ht="21.75" customHeight="1" x14ac:dyDescent="0.3"/>
  </sheetData>
  <mergeCells count="71">
    <mergeCell ref="B18:Q18"/>
    <mergeCell ref="M21:V21"/>
    <mergeCell ref="R18:T18"/>
    <mergeCell ref="U18:V18"/>
    <mergeCell ref="B19:E19"/>
    <mergeCell ref="F19:Q19"/>
    <mergeCell ref="R19:T19"/>
    <mergeCell ref="B20:F20"/>
    <mergeCell ref="G20:I20"/>
    <mergeCell ref="J20:L20"/>
    <mergeCell ref="M20:V20"/>
    <mergeCell ref="B21:F21"/>
    <mergeCell ref="G21:I21"/>
    <mergeCell ref="J21:L21"/>
    <mergeCell ref="B17:H17"/>
    <mergeCell ref="I17:J17"/>
    <mergeCell ref="K17:N17"/>
    <mergeCell ref="O17:Q17"/>
    <mergeCell ref="K16:N16"/>
    <mergeCell ref="B14:H14"/>
    <mergeCell ref="I14:J14"/>
    <mergeCell ref="K14:N14"/>
    <mergeCell ref="O14:Q14"/>
    <mergeCell ref="U14:V14"/>
    <mergeCell ref="R14:T14"/>
    <mergeCell ref="R15:T15"/>
    <mergeCell ref="U15:V15"/>
    <mergeCell ref="R16:T16"/>
    <mergeCell ref="U16:V16"/>
    <mergeCell ref="U19:V19"/>
    <mergeCell ref="R17:T17"/>
    <mergeCell ref="U17:V17"/>
    <mergeCell ref="B15:H15"/>
    <mergeCell ref="I15:J15"/>
    <mergeCell ref="K15:N15"/>
    <mergeCell ref="O15:Q15"/>
    <mergeCell ref="O16:Q16"/>
    <mergeCell ref="B16:H16"/>
    <mergeCell ref="I16:J16"/>
    <mergeCell ref="B13:J13"/>
    <mergeCell ref="K13:N13"/>
    <mergeCell ref="O13:Q13"/>
    <mergeCell ref="R13:T13"/>
    <mergeCell ref="U13:V13"/>
    <mergeCell ref="B12:J12"/>
    <mergeCell ref="K12:N12"/>
    <mergeCell ref="O12:Q12"/>
    <mergeCell ref="R12:T12"/>
    <mergeCell ref="U12:V12"/>
    <mergeCell ref="A1:V1"/>
    <mergeCell ref="A2:V2"/>
    <mergeCell ref="U10:V10"/>
    <mergeCell ref="B11:J11"/>
    <mergeCell ref="K11:N11"/>
    <mergeCell ref="O11:Q11"/>
    <mergeCell ref="R11:T11"/>
    <mergeCell ref="U11:V11"/>
    <mergeCell ref="B10:J10"/>
    <mergeCell ref="K10:N10"/>
    <mergeCell ref="O10:Q10"/>
    <mergeCell ref="R10:T10"/>
    <mergeCell ref="F30:O30"/>
    <mergeCell ref="F31:O31"/>
    <mergeCell ref="F32:O32"/>
    <mergeCell ref="F33:O33"/>
    <mergeCell ref="F23:O23"/>
    <mergeCell ref="F25:O25"/>
    <mergeCell ref="F26:O26"/>
    <mergeCell ref="F28:O28"/>
    <mergeCell ref="F29:O29"/>
    <mergeCell ref="F27:O27"/>
  </mergeCells>
  <phoneticPr fontId="2" type="noConversion"/>
  <pageMargins left="0.25" right="0.25" top="0.5" bottom="0.5" header="0.25" footer="0.2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topLeftCell="A16" workbookViewId="0">
      <selection activeCell="P20" sqref="P20"/>
    </sheetView>
  </sheetViews>
  <sheetFormatPr defaultColWidth="9.140625" defaultRowHeight="22.5" customHeight="1" x14ac:dyDescent="0.2"/>
  <cols>
    <col min="1" max="1" width="7.28515625" style="80" customWidth="1"/>
    <col min="2" max="2" width="6" style="80" customWidth="1"/>
    <col min="3" max="3" width="7.28515625" style="80" customWidth="1"/>
    <col min="4" max="4" width="3.85546875" style="80" customWidth="1"/>
    <col min="5" max="5" width="8.28515625" style="80" customWidth="1"/>
    <col min="6" max="6" width="6.140625" style="80" customWidth="1"/>
    <col min="7" max="7" width="8.7109375" style="80" customWidth="1"/>
    <col min="8" max="9" width="8.28515625" style="80" customWidth="1"/>
    <col min="10" max="10" width="2.140625" style="80" customWidth="1"/>
    <col min="11" max="11" width="3" style="80" customWidth="1"/>
    <col min="12" max="12" width="5.140625" style="80" customWidth="1"/>
    <col min="13" max="13" width="13" style="80" customWidth="1"/>
    <col min="14" max="14" width="10.5703125" style="80" customWidth="1"/>
    <col min="15" max="16384" width="9.140625" style="80"/>
  </cols>
  <sheetData>
    <row r="1" spans="1:30" ht="22.5" customHeight="1" x14ac:dyDescent="0.2">
      <c r="A1" s="439" t="s">
        <v>99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</row>
    <row r="2" spans="1:30" ht="22.5" customHeight="1" x14ac:dyDescent="0.2">
      <c r="A2" s="440" t="s">
        <v>247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29"/>
      <c r="AA2" s="29"/>
      <c r="AB2" s="29"/>
      <c r="AC2" s="29"/>
      <c r="AD2" s="29"/>
    </row>
    <row r="3" spans="1:30" ht="22.5" customHeight="1" x14ac:dyDescent="0.2">
      <c r="A3" s="82" t="s">
        <v>28</v>
      </c>
      <c r="B3" s="83" t="s">
        <v>71</v>
      </c>
      <c r="C3" s="84"/>
      <c r="D3" s="305" t="str">
        <f>ปร.5!E3</f>
        <v xml:space="preserve"> ประเภทงานทาง สะพาน และท่อเหลี่ยม</v>
      </c>
      <c r="E3" s="85"/>
      <c r="F3" s="85"/>
      <c r="G3" s="85"/>
      <c r="H3" s="85"/>
      <c r="I3" s="85"/>
      <c r="J3" s="85"/>
      <c r="K3" s="86"/>
      <c r="L3" s="86"/>
      <c r="M3" s="85"/>
      <c r="N3" s="85"/>
    </row>
    <row r="4" spans="1:30" ht="22.5" customHeight="1" x14ac:dyDescent="0.2">
      <c r="A4" s="87" t="s">
        <v>28</v>
      </c>
      <c r="B4" s="88" t="s">
        <v>72</v>
      </c>
      <c r="C4" s="89"/>
      <c r="D4" s="326" t="str">
        <f>ปร.5!E4</f>
        <v xml:space="preserve"> วางท่อระบายน้ำถนนกลุ่มบ้านนายไสว ลาดนอก</v>
      </c>
      <c r="E4" s="90"/>
      <c r="F4" s="90"/>
      <c r="G4" s="90"/>
      <c r="H4" s="90"/>
      <c r="I4" s="90"/>
      <c r="J4" s="90"/>
      <c r="K4" s="91"/>
      <c r="L4" s="91"/>
      <c r="M4" s="90"/>
      <c r="N4" s="90"/>
    </row>
    <row r="5" spans="1:30" ht="22.5" customHeight="1" x14ac:dyDescent="0.2">
      <c r="A5" s="87" t="s">
        <v>28</v>
      </c>
      <c r="B5" s="88" t="s">
        <v>29</v>
      </c>
      <c r="C5" s="92"/>
      <c r="D5" s="326" t="str">
        <f>ปร.5!E5</f>
        <v xml:space="preserve"> ตำบลเขาฉกรรจ์ อำเภอเขาฉกรรจ์ จังหวัดสระแก้ว</v>
      </c>
      <c r="E5" s="90"/>
      <c r="F5" s="90"/>
      <c r="G5" s="90"/>
      <c r="H5" s="90"/>
      <c r="I5" s="90"/>
      <c r="J5" s="90"/>
      <c r="K5" s="90"/>
      <c r="L5" s="90"/>
      <c r="M5" s="91"/>
      <c r="N5" s="90"/>
    </row>
    <row r="6" spans="1:30" ht="22.5" customHeight="1" x14ac:dyDescent="0.2">
      <c r="A6" s="87" t="s">
        <v>28</v>
      </c>
      <c r="B6" s="93" t="s">
        <v>30</v>
      </c>
      <c r="C6" s="91"/>
      <c r="D6" s="326" t="str">
        <f>ปร.5!E6</f>
        <v xml:space="preserve"> /2563</v>
      </c>
      <c r="E6" s="94"/>
      <c r="F6" s="89"/>
      <c r="G6" s="91"/>
      <c r="H6" s="90"/>
      <c r="I6" s="90" t="s">
        <v>31</v>
      </c>
      <c r="J6" s="90"/>
      <c r="K6" s="95"/>
      <c r="L6" s="95" t="str">
        <f>ปร.5!O6</f>
        <v xml:space="preserve"> - </v>
      </c>
      <c r="M6" s="89"/>
      <c r="N6" s="90"/>
    </row>
    <row r="7" spans="1:30" ht="22.5" customHeight="1" x14ac:dyDescent="0.2">
      <c r="A7" s="87" t="s">
        <v>28</v>
      </c>
      <c r="B7" s="88" t="s">
        <v>27</v>
      </c>
      <c r="C7" s="90"/>
      <c r="D7" s="326" t="str">
        <f>ปร.5!E7</f>
        <v xml:space="preserve"> ฝ่ายแบบแผนและก่อสร้าง</v>
      </c>
      <c r="E7" s="96"/>
      <c r="F7" s="90"/>
      <c r="G7" s="94" t="s">
        <v>69</v>
      </c>
      <c r="H7" s="326" t="str">
        <f>ปร.5!L7</f>
        <v xml:space="preserve"> ช่าง เทศบาลตำบลเขาฉกรรจ์</v>
      </c>
      <c r="I7" s="90"/>
      <c r="J7" s="90"/>
      <c r="K7" s="91"/>
      <c r="L7" s="97" t="s">
        <v>54</v>
      </c>
      <c r="M7" s="326" t="str">
        <f>ปร.5!R7</f>
        <v xml:space="preserve"> กรมส่งเสริมการปกครองท้องถิ่น</v>
      </c>
      <c r="N7" s="90"/>
    </row>
    <row r="8" spans="1:30" ht="22.5" customHeight="1" x14ac:dyDescent="0.2">
      <c r="A8" s="87" t="s">
        <v>28</v>
      </c>
      <c r="B8" s="88" t="s">
        <v>79</v>
      </c>
      <c r="C8" s="90"/>
      <c r="D8" s="89"/>
      <c r="E8" s="326" t="str">
        <f>ปร.5!G8</f>
        <v xml:space="preserve"> 30 เดือน เมษายน พ.ศ. 2563</v>
      </c>
      <c r="F8" s="90"/>
      <c r="G8" s="90"/>
      <c r="H8" s="90"/>
      <c r="I8" s="90"/>
      <c r="J8" s="90"/>
      <c r="K8" s="91"/>
      <c r="L8" s="91"/>
      <c r="M8" s="90"/>
      <c r="N8" s="90"/>
    </row>
    <row r="9" spans="1:30" ht="22.5" customHeight="1" thickBot="1" x14ac:dyDescent="0.25">
      <c r="A9" s="98"/>
      <c r="B9" s="99"/>
      <c r="C9" s="99"/>
      <c r="D9" s="100"/>
      <c r="E9" s="99"/>
      <c r="F9" s="99"/>
      <c r="G9" s="99"/>
      <c r="H9" s="99"/>
      <c r="I9" s="99"/>
      <c r="J9" s="99"/>
      <c r="K9" s="101"/>
      <c r="L9" s="101"/>
      <c r="M9" s="99"/>
      <c r="N9" s="99"/>
    </row>
    <row r="10" spans="1:30" ht="22.5" customHeight="1" thickTop="1" x14ac:dyDescent="0.2">
      <c r="A10" s="441" t="s">
        <v>22</v>
      </c>
      <c r="B10" s="443" t="s">
        <v>0</v>
      </c>
      <c r="C10" s="444"/>
      <c r="D10" s="444"/>
      <c r="E10" s="444"/>
      <c r="F10" s="444"/>
      <c r="G10" s="444"/>
      <c r="H10" s="444"/>
      <c r="I10" s="444"/>
      <c r="J10" s="444"/>
      <c r="K10" s="445"/>
      <c r="L10" s="443" t="s">
        <v>75</v>
      </c>
      <c r="M10" s="445"/>
      <c r="N10" s="441" t="s">
        <v>2</v>
      </c>
    </row>
    <row r="11" spans="1:30" ht="22.5" customHeight="1" thickBot="1" x14ac:dyDescent="0.25">
      <c r="A11" s="442"/>
      <c r="B11" s="446"/>
      <c r="C11" s="447"/>
      <c r="D11" s="447"/>
      <c r="E11" s="447"/>
      <c r="F11" s="447"/>
      <c r="G11" s="447"/>
      <c r="H11" s="447"/>
      <c r="I11" s="447"/>
      <c r="J11" s="447"/>
      <c r="K11" s="448"/>
      <c r="L11" s="446"/>
      <c r="M11" s="448"/>
      <c r="N11" s="442"/>
    </row>
    <row r="12" spans="1:30" ht="22.5" customHeight="1" thickTop="1" x14ac:dyDescent="0.2">
      <c r="A12" s="102"/>
      <c r="B12" s="103" t="s">
        <v>76</v>
      </c>
      <c r="C12" s="104"/>
      <c r="D12" s="104"/>
      <c r="E12" s="104"/>
      <c r="F12" s="104"/>
      <c r="G12" s="104"/>
      <c r="H12" s="104"/>
      <c r="I12" s="104"/>
      <c r="J12" s="104"/>
      <c r="K12" s="105"/>
      <c r="L12" s="424"/>
      <c r="M12" s="425"/>
      <c r="N12" s="106"/>
    </row>
    <row r="13" spans="1:30" ht="22.5" customHeight="1" x14ac:dyDescent="0.2">
      <c r="A13" s="107">
        <v>1</v>
      </c>
      <c r="B13" s="108" t="str">
        <f>D3</f>
        <v xml:space="preserve"> ประเภทงานทาง สะพาน และท่อเหลี่ยม</v>
      </c>
      <c r="C13" s="90"/>
      <c r="D13" s="90"/>
      <c r="E13" s="90"/>
      <c r="F13" s="90"/>
      <c r="G13" s="90"/>
      <c r="H13" s="90"/>
      <c r="I13" s="90"/>
      <c r="J13" s="90"/>
      <c r="K13" s="109"/>
      <c r="L13" s="426">
        <f>ปร.5!R19</f>
        <v>2054400</v>
      </c>
      <c r="M13" s="427"/>
      <c r="N13" s="112"/>
    </row>
    <row r="14" spans="1:30" ht="22.5" customHeight="1" x14ac:dyDescent="0.2">
      <c r="A14" s="113"/>
      <c r="B14" s="108"/>
      <c r="C14" s="114"/>
      <c r="D14" s="114"/>
      <c r="E14" s="114"/>
      <c r="F14" s="114"/>
      <c r="G14" s="114"/>
      <c r="H14" s="114"/>
      <c r="I14" s="114"/>
      <c r="J14" s="114"/>
      <c r="K14" s="115"/>
      <c r="L14" s="110"/>
      <c r="M14" s="111"/>
      <c r="N14" s="116"/>
    </row>
    <row r="15" spans="1:30" ht="22.5" customHeight="1" x14ac:dyDescent="0.2">
      <c r="A15" s="113"/>
      <c r="B15" s="108"/>
      <c r="C15" s="114"/>
      <c r="D15" s="114"/>
      <c r="E15" s="114"/>
      <c r="F15" s="114"/>
      <c r="G15" s="114"/>
      <c r="H15" s="114"/>
      <c r="I15" s="114"/>
      <c r="J15" s="114"/>
      <c r="K15" s="115"/>
      <c r="L15" s="110"/>
      <c r="M15" s="111"/>
      <c r="N15" s="116"/>
    </row>
    <row r="16" spans="1:30" ht="22.5" customHeight="1" x14ac:dyDescent="0.2">
      <c r="A16" s="113"/>
      <c r="B16" s="108"/>
      <c r="C16" s="114"/>
      <c r="D16" s="114"/>
      <c r="E16" s="114"/>
      <c r="F16" s="114"/>
      <c r="G16" s="114"/>
      <c r="H16" s="114"/>
      <c r="I16" s="114"/>
      <c r="J16" s="114"/>
      <c r="K16" s="115"/>
      <c r="L16" s="428"/>
      <c r="M16" s="429"/>
      <c r="N16" s="116"/>
    </row>
    <row r="17" spans="1:36" ht="22.5" customHeight="1" x14ac:dyDescent="0.2">
      <c r="A17" s="107"/>
      <c r="B17" s="117"/>
      <c r="C17" s="114"/>
      <c r="D17" s="114"/>
      <c r="E17" s="114"/>
      <c r="F17" s="114"/>
      <c r="G17" s="114"/>
      <c r="H17" s="114"/>
      <c r="I17" s="114"/>
      <c r="J17" s="114"/>
      <c r="K17" s="115"/>
      <c r="L17" s="430"/>
      <c r="M17" s="431"/>
      <c r="N17" s="116"/>
    </row>
    <row r="18" spans="1:36" ht="22.5" customHeight="1" x14ac:dyDescent="0.2">
      <c r="A18" s="118"/>
      <c r="B18" s="433" t="s">
        <v>59</v>
      </c>
      <c r="C18" s="433"/>
      <c r="D18" s="433"/>
      <c r="E18" s="433"/>
      <c r="F18" s="433"/>
      <c r="G18" s="433"/>
      <c r="H18" s="433"/>
      <c r="I18" s="433"/>
      <c r="J18" s="433"/>
      <c r="K18" s="434"/>
      <c r="L18" s="435">
        <f>SUM(L13:L17)</f>
        <v>2054400</v>
      </c>
      <c r="M18" s="436"/>
      <c r="N18" s="119"/>
    </row>
    <row r="19" spans="1:36" ht="22.5" customHeight="1" thickBot="1" x14ac:dyDescent="0.25">
      <c r="A19" s="118"/>
      <c r="B19" s="433" t="s">
        <v>77</v>
      </c>
      <c r="C19" s="433"/>
      <c r="D19" s="433"/>
      <c r="E19" s="433"/>
      <c r="F19" s="433"/>
      <c r="G19" s="433"/>
      <c r="H19" s="433"/>
      <c r="I19" s="433"/>
      <c r="J19" s="433"/>
      <c r="K19" s="434"/>
      <c r="L19" s="437">
        <v>2054400</v>
      </c>
      <c r="M19" s="438"/>
      <c r="N19" s="120"/>
      <c r="O19" s="121"/>
    </row>
    <row r="20" spans="1:36" ht="22.5" customHeight="1" thickTop="1" x14ac:dyDescent="0.2">
      <c r="A20" s="118"/>
      <c r="B20" s="432" t="str">
        <f>"( "&amp;(BAHTTEXT(L19))&amp;")"</f>
        <v>( สองล้านห้าหมื่นสี่พันสี่ร้อยบาทถ้วน)</v>
      </c>
      <c r="C20" s="432"/>
      <c r="D20" s="432"/>
      <c r="E20" s="432"/>
      <c r="F20" s="432"/>
      <c r="G20" s="432"/>
      <c r="H20" s="432"/>
      <c r="I20" s="432"/>
      <c r="J20" s="432"/>
      <c r="K20" s="432"/>
      <c r="L20" s="432"/>
      <c r="M20" s="432"/>
      <c r="N20" s="122"/>
      <c r="O20" s="123"/>
      <c r="P20" s="123"/>
      <c r="Q20" s="123"/>
      <c r="R20" s="123"/>
      <c r="S20" s="123"/>
      <c r="T20" s="123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</row>
    <row r="21" spans="1:36" ht="22.5" customHeight="1" x14ac:dyDescent="0.2">
      <c r="A21" s="124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</row>
    <row r="22" spans="1:36" s="22" customFormat="1" ht="21" x14ac:dyDescent="0.2">
      <c r="A22" s="124"/>
      <c r="B22" s="124"/>
      <c r="C22" s="124"/>
      <c r="D22" s="124"/>
      <c r="E22" s="339"/>
      <c r="F22" s="340"/>
      <c r="G22" s="341"/>
      <c r="H22" s="341"/>
      <c r="I22" s="354" t="s">
        <v>344</v>
      </c>
      <c r="J22" s="355"/>
      <c r="K22" s="355"/>
      <c r="L22" s="355"/>
      <c r="M22" s="355"/>
      <c r="N22" s="124"/>
    </row>
    <row r="23" spans="1:36" s="22" customFormat="1" ht="18.75" x14ac:dyDescent="0.2">
      <c r="A23" s="124"/>
      <c r="B23" s="124"/>
      <c r="C23" s="124"/>
      <c r="D23" s="124"/>
      <c r="E23" s="124"/>
      <c r="F23" s="353"/>
      <c r="G23" s="353"/>
      <c r="H23" s="353"/>
      <c r="I23" s="353"/>
      <c r="J23" s="353"/>
      <c r="K23" s="353"/>
      <c r="L23" s="353"/>
      <c r="M23" s="124"/>
      <c r="N23" s="124"/>
    </row>
    <row r="24" spans="1:36" s="22" customFormat="1" ht="18.75" x14ac:dyDescent="0.2">
      <c r="A24" s="124"/>
      <c r="B24" s="124"/>
      <c r="C24" s="124"/>
      <c r="D24" s="124"/>
      <c r="E24" s="124"/>
      <c r="F24" s="353" t="s">
        <v>351</v>
      </c>
      <c r="G24" s="353"/>
      <c r="H24" s="353"/>
      <c r="I24" s="353"/>
      <c r="J24" s="353"/>
      <c r="K24" s="353"/>
      <c r="L24" s="353"/>
      <c r="M24" s="353"/>
      <c r="N24" s="353"/>
      <c r="O24" s="353"/>
    </row>
    <row r="25" spans="1:36" s="22" customFormat="1" ht="18.75" x14ac:dyDescent="0.2">
      <c r="A25" s="124"/>
      <c r="B25" s="124"/>
      <c r="C25" s="124"/>
      <c r="D25" s="124"/>
      <c r="E25" s="124"/>
      <c r="F25" s="353" t="s">
        <v>345</v>
      </c>
      <c r="G25" s="353"/>
      <c r="H25" s="353"/>
      <c r="I25" s="353"/>
      <c r="J25" s="353"/>
      <c r="K25" s="353"/>
      <c r="L25" s="353"/>
      <c r="M25" s="353"/>
      <c r="N25" s="353"/>
      <c r="O25" s="353"/>
    </row>
    <row r="26" spans="1:36" s="22" customFormat="1" ht="18.75" x14ac:dyDescent="0.2">
      <c r="A26" s="124"/>
      <c r="B26" s="124"/>
      <c r="C26" s="124"/>
      <c r="D26" s="124"/>
      <c r="E26" s="124"/>
      <c r="F26" s="353" t="s">
        <v>347</v>
      </c>
      <c r="G26" s="353"/>
      <c r="H26" s="353"/>
      <c r="I26" s="353"/>
      <c r="J26" s="353"/>
      <c r="K26" s="353"/>
      <c r="L26" s="353"/>
      <c r="M26" s="353"/>
      <c r="N26" s="353"/>
      <c r="O26" s="353"/>
    </row>
    <row r="27" spans="1:36" s="22" customFormat="1" ht="18.75" x14ac:dyDescent="0.2">
      <c r="A27" s="124"/>
      <c r="B27" s="124"/>
      <c r="C27" s="124"/>
      <c r="D27" s="124"/>
      <c r="E27" s="124"/>
      <c r="F27" s="353" t="s">
        <v>346</v>
      </c>
      <c r="G27" s="353"/>
      <c r="H27" s="353"/>
      <c r="I27" s="353"/>
      <c r="J27" s="353"/>
      <c r="K27" s="353"/>
      <c r="L27" s="353"/>
      <c r="M27" s="353"/>
      <c r="N27" s="353"/>
      <c r="O27" s="353"/>
    </row>
    <row r="28" spans="1:36" s="22" customFormat="1" ht="18.75" x14ac:dyDescent="0.2">
      <c r="A28" s="124"/>
      <c r="B28" s="124"/>
      <c r="C28" s="124"/>
      <c r="D28" s="124"/>
      <c r="E28" s="124"/>
      <c r="F28" s="353" t="s">
        <v>350</v>
      </c>
      <c r="G28" s="353"/>
      <c r="H28" s="353"/>
      <c r="I28" s="353"/>
      <c r="J28" s="353"/>
      <c r="K28" s="353"/>
      <c r="L28" s="353"/>
      <c r="M28" s="353"/>
      <c r="N28" s="353"/>
      <c r="O28" s="353"/>
    </row>
    <row r="29" spans="1:36" s="22" customFormat="1" ht="18.75" x14ac:dyDescent="0.2">
      <c r="A29" s="124"/>
      <c r="B29" s="124"/>
      <c r="C29" s="124"/>
      <c r="D29" s="124"/>
      <c r="E29" s="124"/>
      <c r="F29" s="353" t="s">
        <v>348</v>
      </c>
      <c r="G29" s="353"/>
      <c r="H29" s="353"/>
      <c r="I29" s="353"/>
      <c r="J29" s="353"/>
      <c r="K29" s="353"/>
      <c r="L29" s="353"/>
      <c r="M29" s="353"/>
      <c r="N29" s="353"/>
      <c r="O29" s="353"/>
    </row>
    <row r="30" spans="1:36" s="22" customFormat="1" ht="18.75" x14ac:dyDescent="0.2">
      <c r="A30" s="124"/>
      <c r="B30" s="124"/>
      <c r="C30" s="124"/>
      <c r="D30" s="124"/>
      <c r="E30" s="124"/>
      <c r="F30" s="353" t="s">
        <v>346</v>
      </c>
      <c r="G30" s="353"/>
      <c r="H30" s="353"/>
      <c r="I30" s="353"/>
      <c r="J30" s="353"/>
      <c r="K30" s="353"/>
      <c r="L30" s="353"/>
      <c r="M30" s="353"/>
      <c r="N30" s="353"/>
      <c r="O30" s="353"/>
    </row>
    <row r="31" spans="1:36" s="22" customFormat="1" ht="18.75" x14ac:dyDescent="0.2">
      <c r="A31" s="124"/>
      <c r="B31" s="124"/>
      <c r="C31" s="124"/>
      <c r="D31" s="124"/>
      <c r="E31" s="124"/>
      <c r="F31" s="353" t="s">
        <v>349</v>
      </c>
      <c r="G31" s="353"/>
      <c r="H31" s="353"/>
      <c r="I31" s="353"/>
      <c r="J31" s="353"/>
      <c r="K31" s="353"/>
      <c r="L31" s="353"/>
      <c r="M31" s="353"/>
      <c r="N31" s="353"/>
      <c r="O31" s="353"/>
    </row>
    <row r="32" spans="1:36" s="22" customFormat="1" ht="18.75" x14ac:dyDescent="0.2">
      <c r="A32" s="124"/>
      <c r="B32" s="124"/>
      <c r="C32" s="124"/>
      <c r="D32" s="124"/>
      <c r="E32" s="124"/>
      <c r="F32" s="353" t="s">
        <v>348</v>
      </c>
      <c r="G32" s="353"/>
      <c r="H32" s="353"/>
      <c r="I32" s="353"/>
      <c r="J32" s="353"/>
      <c r="K32" s="353"/>
      <c r="L32" s="353"/>
      <c r="M32" s="353"/>
      <c r="N32" s="353"/>
      <c r="O32" s="353"/>
    </row>
    <row r="33" spans="1:14" s="22" customFormat="1" ht="18.75" x14ac:dyDescent="0.2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</row>
    <row r="34" spans="1:14" s="22" customFormat="1" ht="18.75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</row>
    <row r="35" spans="1:14" s="22" customFormat="1" ht="18.75" x14ac:dyDescent="0.2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7"/>
      <c r="L35" s="124"/>
      <c r="M35" s="124"/>
      <c r="N35" s="124"/>
    </row>
    <row r="36" spans="1:14" s="22" customFormat="1" ht="18.75" x14ac:dyDescent="0.2">
      <c r="A36" s="124"/>
      <c r="B36" s="124"/>
      <c r="C36" s="124"/>
      <c r="D36" s="124"/>
      <c r="E36" s="124"/>
      <c r="F36" s="124"/>
      <c r="G36" s="124"/>
      <c r="H36" s="124"/>
      <c r="I36" s="124"/>
      <c r="J36" s="124"/>
      <c r="K36" s="128"/>
      <c r="L36" s="124"/>
      <c r="M36" s="124"/>
      <c r="N36" s="124"/>
    </row>
    <row r="37" spans="1:14" s="1" customFormat="1" ht="18.75" x14ac:dyDescent="0.3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</row>
    <row r="38" spans="1:14" s="1" customFormat="1" ht="18.75" x14ac:dyDescent="0.3">
      <c r="A38" s="129"/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</row>
  </sheetData>
  <mergeCells count="26">
    <mergeCell ref="A1:N1"/>
    <mergeCell ref="A2:N2"/>
    <mergeCell ref="A10:A11"/>
    <mergeCell ref="B10:K11"/>
    <mergeCell ref="L10:M11"/>
    <mergeCell ref="N10:N11"/>
    <mergeCell ref="L12:M12"/>
    <mergeCell ref="L13:M13"/>
    <mergeCell ref="L16:M16"/>
    <mergeCell ref="L17:M17"/>
    <mergeCell ref="B20:M20"/>
    <mergeCell ref="B18:K18"/>
    <mergeCell ref="L18:M18"/>
    <mergeCell ref="B19:K19"/>
    <mergeCell ref="L19:M19"/>
    <mergeCell ref="F30:O30"/>
    <mergeCell ref="F31:O31"/>
    <mergeCell ref="F32:O32"/>
    <mergeCell ref="I22:M22"/>
    <mergeCell ref="F25:O25"/>
    <mergeCell ref="F26:O26"/>
    <mergeCell ref="F27:O27"/>
    <mergeCell ref="F28:O28"/>
    <mergeCell ref="F29:O29"/>
    <mergeCell ref="F23:L23"/>
    <mergeCell ref="F24:O24"/>
  </mergeCells>
  <phoneticPr fontId="2" type="noConversion"/>
  <pageMargins left="0.39370078740157483" right="0.31496062992125984" top="0.39370078740157483" bottom="0.19685039370078741" header="0.39370078740157483" footer="0.1574803149606299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D13" sqref="D13"/>
    </sheetView>
  </sheetViews>
  <sheetFormatPr defaultColWidth="9.140625" defaultRowHeight="18.75" x14ac:dyDescent="0.3"/>
  <cols>
    <col min="1" max="1" width="9.140625" style="5"/>
    <col min="2" max="2" width="5.5703125" style="5" customWidth="1"/>
    <col min="3" max="3" width="38" style="5" customWidth="1"/>
    <col min="4" max="4" width="18.42578125" style="5" customWidth="1"/>
    <col min="5" max="5" width="34.42578125" style="4" customWidth="1"/>
    <col min="6" max="16384" width="9.140625" style="5"/>
  </cols>
  <sheetData>
    <row r="1" spans="1:5" x14ac:dyDescent="0.3">
      <c r="B1" s="8" t="s">
        <v>61</v>
      </c>
    </row>
    <row r="2" spans="1:5" ht="22.5" customHeight="1" x14ac:dyDescent="0.3">
      <c r="A2" s="13"/>
      <c r="B2" s="11" t="s">
        <v>62</v>
      </c>
      <c r="D2" s="32">
        <f>FLOOR((D6-((D6-D7)*(D3-D4)/(D5-D4))),0.0001)</f>
        <v>1.4132</v>
      </c>
      <c r="E2" s="126"/>
    </row>
    <row r="3" spans="1:5" ht="22.5" customHeight="1" x14ac:dyDescent="0.3">
      <c r="A3" s="13"/>
      <c r="B3" s="11"/>
      <c r="C3" s="5" t="s">
        <v>63</v>
      </c>
      <c r="D3" s="33">
        <f>ปร.4!G50</f>
        <v>0</v>
      </c>
    </row>
    <row r="4" spans="1:5" ht="22.5" customHeight="1" x14ac:dyDescent="0.3">
      <c r="A4" s="13"/>
      <c r="B4" s="11"/>
      <c r="C4" s="5" t="s">
        <v>64</v>
      </c>
      <c r="D4" s="33">
        <v>5000000</v>
      </c>
    </row>
    <row r="5" spans="1:5" ht="22.5" customHeight="1" x14ac:dyDescent="0.3">
      <c r="A5" s="13"/>
      <c r="B5" s="11"/>
      <c r="C5" s="5" t="s">
        <v>65</v>
      </c>
      <c r="D5" s="33">
        <v>10000000</v>
      </c>
    </row>
    <row r="6" spans="1:5" ht="22.5" customHeight="1" x14ac:dyDescent="0.3">
      <c r="A6" s="13"/>
      <c r="B6" s="13"/>
      <c r="C6" s="5" t="s">
        <v>66</v>
      </c>
      <c r="D6" s="34">
        <v>1.3624000000000001</v>
      </c>
    </row>
    <row r="7" spans="1:5" ht="22.5" customHeight="1" x14ac:dyDescent="0.3">
      <c r="A7" s="13"/>
      <c r="B7" s="13"/>
      <c r="C7" s="5" t="s">
        <v>67</v>
      </c>
      <c r="D7" s="34">
        <v>1.3116000000000001</v>
      </c>
    </row>
    <row r="8" spans="1:5" ht="22.5" customHeight="1" x14ac:dyDescent="0.3"/>
    <row r="9" spans="1:5" x14ac:dyDescent="0.3">
      <c r="B9" s="8" t="s">
        <v>68</v>
      </c>
    </row>
    <row r="10" spans="1:5" ht="22.5" customHeight="1" x14ac:dyDescent="0.3">
      <c r="A10" s="13"/>
      <c r="B10" s="11" t="s">
        <v>62</v>
      </c>
      <c r="D10" s="32">
        <f>FLOOR((D14-((D14-D15)*(D11-D12)/(D13-D12))),0.0001)</f>
        <v>1.2754000000000001</v>
      </c>
    </row>
    <row r="11" spans="1:5" ht="22.5" customHeight="1" x14ac:dyDescent="0.3">
      <c r="A11" s="13"/>
      <c r="B11" s="11"/>
      <c r="C11" s="5" t="s">
        <v>63</v>
      </c>
      <c r="D11" s="33"/>
    </row>
    <row r="12" spans="1:5" ht="22.5" customHeight="1" x14ac:dyDescent="0.3">
      <c r="A12" s="13"/>
      <c r="B12" s="11"/>
      <c r="C12" s="5" t="s">
        <v>64</v>
      </c>
      <c r="D12" s="33">
        <v>5000000</v>
      </c>
    </row>
    <row r="13" spans="1:5" ht="22.5" customHeight="1" x14ac:dyDescent="0.3">
      <c r="A13" s="13"/>
      <c r="B13" s="11"/>
      <c r="C13" s="5" t="s">
        <v>65</v>
      </c>
      <c r="D13" s="33">
        <v>10000000</v>
      </c>
    </row>
    <row r="14" spans="1:5" ht="22.5" customHeight="1" x14ac:dyDescent="0.3">
      <c r="A14" s="13"/>
      <c r="B14" s="13"/>
      <c r="C14" s="5" t="s">
        <v>66</v>
      </c>
      <c r="D14" s="34">
        <v>1.2508999999999999</v>
      </c>
    </row>
    <row r="15" spans="1:5" ht="22.5" customHeight="1" x14ac:dyDescent="0.3">
      <c r="A15" s="13"/>
      <c r="B15" s="13"/>
      <c r="C15" s="5" t="s">
        <v>67</v>
      </c>
      <c r="D15" s="34">
        <v>1.2263999999999999</v>
      </c>
    </row>
    <row r="17" spans="1:4" x14ac:dyDescent="0.3">
      <c r="B17" s="8" t="s">
        <v>100</v>
      </c>
    </row>
    <row r="18" spans="1:4" ht="22.5" customHeight="1" x14ac:dyDescent="0.3">
      <c r="A18" s="13"/>
      <c r="B18" s="11" t="s">
        <v>62</v>
      </c>
      <c r="D18" s="32">
        <f>FLOOR((D22-((D22-D23)*(D19-D20)/(D21-D20))),0.0001)</f>
        <v>1.3056000000000001</v>
      </c>
    </row>
    <row r="19" spans="1:4" ht="22.5" customHeight="1" x14ac:dyDescent="0.3">
      <c r="A19" s="13"/>
      <c r="B19" s="11"/>
      <c r="C19" s="5" t="s">
        <v>63</v>
      </c>
      <c r="D19" s="33">
        <f>ปร.4!G50</f>
        <v>0</v>
      </c>
    </row>
    <row r="20" spans="1:4" ht="22.5" customHeight="1" x14ac:dyDescent="0.3">
      <c r="A20" s="13"/>
      <c r="B20" s="11"/>
      <c r="C20" s="5" t="s">
        <v>64</v>
      </c>
      <c r="D20" s="33">
        <v>2000000</v>
      </c>
    </row>
    <row r="21" spans="1:4" ht="22.5" customHeight="1" x14ac:dyDescent="0.3">
      <c r="A21" s="13"/>
      <c r="B21" s="11"/>
      <c r="C21" s="5" t="s">
        <v>65</v>
      </c>
      <c r="D21" s="33">
        <v>5000000</v>
      </c>
    </row>
    <row r="22" spans="1:4" ht="22.5" customHeight="1" x14ac:dyDescent="0.3">
      <c r="A22" s="13"/>
      <c r="B22" s="13"/>
      <c r="C22" s="5" t="s">
        <v>66</v>
      </c>
      <c r="D22" s="34">
        <v>1.3035000000000001</v>
      </c>
    </row>
    <row r="23" spans="1:4" ht="22.5" customHeight="1" x14ac:dyDescent="0.3">
      <c r="A23" s="13"/>
      <c r="B23" s="13"/>
      <c r="C23" s="5" t="s">
        <v>67</v>
      </c>
      <c r="D23" s="34">
        <v>1.3003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showGridLines="0" zoomScaleSheetLayoutView="100" workbookViewId="0">
      <pane ySplit="8" topLeftCell="A9" activePane="bottomLeft" state="frozen"/>
      <selection pane="bottomLeft" activeCell="C2" sqref="C2"/>
    </sheetView>
  </sheetViews>
  <sheetFormatPr defaultColWidth="9.140625" defaultRowHeight="18.75" x14ac:dyDescent="0.2"/>
  <cols>
    <col min="1" max="1" width="8.5703125" style="22" customWidth="1"/>
    <col min="2" max="2" width="4.28515625" style="22" customWidth="1"/>
    <col min="3" max="3" width="47.28515625" style="22" customWidth="1"/>
    <col min="4" max="4" width="9.7109375" style="22" customWidth="1"/>
    <col min="5" max="5" width="11.28515625" style="22" customWidth="1"/>
    <col min="6" max="6" width="25.140625" style="22" customWidth="1"/>
    <col min="7" max="7" width="23.42578125" style="22" customWidth="1"/>
    <col min="8" max="8" width="11.7109375" style="22" customWidth="1"/>
    <col min="9" max="16384" width="9.140625" style="22"/>
  </cols>
  <sheetData>
    <row r="1" spans="1:11" ht="30" customHeight="1" x14ac:dyDescent="0.2">
      <c r="A1" s="449" t="s">
        <v>96</v>
      </c>
      <c r="B1" s="449"/>
      <c r="C1" s="449"/>
      <c r="D1" s="449"/>
      <c r="E1" s="449"/>
      <c r="F1" s="449"/>
      <c r="G1" s="449"/>
      <c r="H1" s="449"/>
      <c r="I1" s="38"/>
      <c r="J1" s="38"/>
      <c r="K1" s="38"/>
    </row>
    <row r="2" spans="1:11" s="25" customFormat="1" ht="21.75" customHeight="1" x14ac:dyDescent="0.2">
      <c r="A2" s="73" t="s">
        <v>97</v>
      </c>
      <c r="B2" s="57"/>
      <c r="C2" s="57" t="str">
        <f>ปร.4!C3</f>
        <v xml:space="preserve"> วางท่อระบายน้ำถนนกลุ่มบ้านนายไสว ลาดนอก</v>
      </c>
      <c r="D2" s="27"/>
      <c r="E2" s="27"/>
      <c r="F2" s="27"/>
      <c r="G2" s="27"/>
      <c r="H2" s="27"/>
      <c r="I2" s="26"/>
      <c r="J2" s="24"/>
    </row>
    <row r="3" spans="1:11" s="25" customFormat="1" ht="21.75" customHeight="1" x14ac:dyDescent="0.2">
      <c r="A3" s="73" t="s">
        <v>50</v>
      </c>
      <c r="B3" s="27"/>
      <c r="C3" s="57" t="str">
        <f>ปร.4!C4</f>
        <v xml:space="preserve"> ตำบลเขาฉกรรจ์ อำเภอเขาฉกรรจ์ จังหวัดสระแก้ว</v>
      </c>
      <c r="D3" s="165"/>
      <c r="E3" s="44"/>
      <c r="F3" s="59"/>
      <c r="G3" s="52"/>
      <c r="H3" s="165"/>
      <c r="I3" s="166"/>
      <c r="J3" s="24"/>
    </row>
    <row r="4" spans="1:11" s="25" customFormat="1" ht="21.75" customHeight="1" x14ac:dyDescent="0.2">
      <c r="A4" s="44" t="s">
        <v>57</v>
      </c>
      <c r="B4" s="165"/>
      <c r="C4" s="50"/>
      <c r="D4" s="165"/>
      <c r="E4" s="44" t="s">
        <v>70</v>
      </c>
      <c r="F4" s="50"/>
      <c r="G4" s="50"/>
      <c r="H4" s="167"/>
      <c r="I4" s="168"/>
      <c r="J4" s="24"/>
    </row>
    <row r="5" spans="1:11" s="25" customFormat="1" ht="21.75" customHeight="1" x14ac:dyDescent="0.2">
      <c r="A5" s="169" t="s">
        <v>55</v>
      </c>
      <c r="B5" s="167"/>
      <c r="C5" s="170"/>
      <c r="D5" s="165"/>
      <c r="E5" s="44"/>
      <c r="F5" s="50"/>
      <c r="G5" s="50"/>
      <c r="H5" s="50"/>
      <c r="I5" s="171"/>
      <c r="J5" s="24"/>
    </row>
    <row r="6" spans="1:11" s="25" customFormat="1" ht="21.75" customHeight="1" x14ac:dyDescent="0.2">
      <c r="A6" s="172"/>
      <c r="B6" s="172"/>
      <c r="C6" s="173"/>
      <c r="D6" s="166"/>
      <c r="E6" s="171"/>
      <c r="F6" s="171"/>
      <c r="G6" s="171"/>
      <c r="H6" s="171"/>
      <c r="I6" s="171"/>
      <c r="J6" s="24"/>
    </row>
    <row r="7" spans="1:11" s="39" customFormat="1" x14ac:dyDescent="0.2">
      <c r="A7" s="450" t="s">
        <v>22</v>
      </c>
      <c r="B7" s="450" t="s">
        <v>0</v>
      </c>
      <c r="C7" s="450"/>
      <c r="D7" s="450" t="s">
        <v>1</v>
      </c>
      <c r="E7" s="450" t="s">
        <v>23</v>
      </c>
      <c r="F7" s="450" t="s">
        <v>24</v>
      </c>
      <c r="G7" s="450" t="s">
        <v>58</v>
      </c>
      <c r="H7" s="450" t="s">
        <v>2</v>
      </c>
      <c r="I7" s="152"/>
    </row>
    <row r="8" spans="1:11" x14ac:dyDescent="0.2">
      <c r="A8" s="450"/>
      <c r="B8" s="450"/>
      <c r="C8" s="450"/>
      <c r="D8" s="450"/>
      <c r="E8" s="450"/>
      <c r="F8" s="450"/>
      <c r="G8" s="450"/>
      <c r="H8" s="450"/>
    </row>
    <row r="9" spans="1:11" ht="20.25" customHeight="1" x14ac:dyDescent="0.2">
      <c r="A9" s="138">
        <v>1</v>
      </c>
      <c r="B9" s="139" t="s">
        <v>229</v>
      </c>
      <c r="C9" s="72"/>
      <c r="D9" s="148"/>
      <c r="E9" s="189"/>
      <c r="F9" s="159"/>
      <c r="G9" s="159"/>
      <c r="H9" s="159"/>
    </row>
    <row r="10" spans="1:11" ht="20.25" customHeight="1" x14ac:dyDescent="0.2">
      <c r="A10" s="132"/>
      <c r="B10" s="145" t="s">
        <v>228</v>
      </c>
      <c r="C10" s="36"/>
      <c r="D10" s="148" t="s">
        <v>20</v>
      </c>
      <c r="E10" s="189">
        <v>1410</v>
      </c>
      <c r="F10" s="160"/>
      <c r="G10" s="160"/>
      <c r="H10" s="160"/>
    </row>
    <row r="11" spans="1:11" ht="20.25" customHeight="1" x14ac:dyDescent="0.2">
      <c r="A11" s="130">
        <v>2</v>
      </c>
      <c r="B11" s="149" t="s">
        <v>248</v>
      </c>
      <c r="C11" s="36"/>
      <c r="D11" s="148"/>
      <c r="E11" s="189"/>
      <c r="F11" s="160"/>
      <c r="G11" s="160"/>
      <c r="H11" s="160"/>
    </row>
    <row r="12" spans="1:11" ht="20.25" customHeight="1" x14ac:dyDescent="0.2">
      <c r="A12" s="132"/>
      <c r="B12" s="146" t="s">
        <v>231</v>
      </c>
      <c r="C12" s="36"/>
      <c r="D12" s="148" t="s">
        <v>20</v>
      </c>
      <c r="E12" s="190">
        <v>470</v>
      </c>
      <c r="F12" s="160"/>
      <c r="G12" s="160"/>
      <c r="H12" s="160"/>
    </row>
    <row r="13" spans="1:11" ht="20.25" customHeight="1" x14ac:dyDescent="0.2">
      <c r="A13" s="132"/>
      <c r="B13" s="146" t="s">
        <v>230</v>
      </c>
      <c r="C13" s="36"/>
      <c r="D13" s="148" t="s">
        <v>3</v>
      </c>
      <c r="E13" s="190">
        <v>287</v>
      </c>
      <c r="F13" s="160"/>
      <c r="G13" s="160"/>
      <c r="H13" s="160"/>
    </row>
    <row r="14" spans="1:11" ht="20.25" customHeight="1" x14ac:dyDescent="0.2">
      <c r="A14" s="130">
        <v>3</v>
      </c>
      <c r="B14" s="147" t="s">
        <v>232</v>
      </c>
      <c r="C14" s="36"/>
      <c r="D14" s="150"/>
      <c r="E14" s="190"/>
      <c r="F14" s="160"/>
      <c r="G14" s="160"/>
      <c r="H14" s="160"/>
    </row>
    <row r="15" spans="1:11" ht="20.25" customHeight="1" x14ac:dyDescent="0.2">
      <c r="A15" s="132"/>
      <c r="B15" s="145" t="s">
        <v>235</v>
      </c>
      <c r="C15" s="36"/>
      <c r="D15" s="150" t="s">
        <v>20</v>
      </c>
      <c r="E15" s="190">
        <v>1645</v>
      </c>
      <c r="F15" s="160"/>
      <c r="G15" s="160"/>
      <c r="H15" s="160"/>
    </row>
    <row r="16" spans="1:11" ht="20.25" customHeight="1" x14ac:dyDescent="0.2">
      <c r="A16" s="132"/>
      <c r="B16" s="145" t="s">
        <v>250</v>
      </c>
      <c r="C16" s="36"/>
      <c r="D16" s="150" t="s">
        <v>3</v>
      </c>
      <c r="E16" s="190">
        <v>296</v>
      </c>
      <c r="F16" s="160"/>
      <c r="G16" s="160"/>
      <c r="H16" s="160"/>
    </row>
    <row r="17" spans="1:8" ht="20.25" customHeight="1" x14ac:dyDescent="0.2">
      <c r="A17" s="191">
        <v>4</v>
      </c>
      <c r="B17" s="192" t="s">
        <v>233</v>
      </c>
      <c r="C17" s="36"/>
      <c r="D17" s="148"/>
      <c r="E17" s="190"/>
      <c r="F17" s="160"/>
      <c r="G17" s="160"/>
      <c r="H17" s="160"/>
    </row>
    <row r="18" spans="1:8" ht="20.25" customHeight="1" x14ac:dyDescent="0.2">
      <c r="A18" s="132"/>
      <c r="B18" s="145" t="s">
        <v>234</v>
      </c>
      <c r="C18" s="36"/>
      <c r="D18" s="148" t="s">
        <v>20</v>
      </c>
      <c r="E18" s="190">
        <v>138</v>
      </c>
      <c r="F18" s="160"/>
      <c r="G18" s="160"/>
      <c r="H18" s="160"/>
    </row>
    <row r="19" spans="1:8" ht="20.25" customHeight="1" x14ac:dyDescent="0.2">
      <c r="A19" s="130">
        <v>5</v>
      </c>
      <c r="B19" s="149" t="s">
        <v>236</v>
      </c>
      <c r="C19" s="36"/>
      <c r="D19" s="148"/>
      <c r="E19" s="189"/>
      <c r="F19" s="160"/>
      <c r="G19" s="160"/>
      <c r="H19" s="160"/>
    </row>
    <row r="20" spans="1:8" ht="20.25" customHeight="1" x14ac:dyDescent="0.2">
      <c r="A20" s="132"/>
      <c r="B20" s="146" t="s">
        <v>237</v>
      </c>
      <c r="C20" s="37"/>
      <c r="D20" s="148" t="s">
        <v>20</v>
      </c>
      <c r="E20" s="189">
        <v>1386</v>
      </c>
      <c r="F20" s="141"/>
      <c r="G20" s="141"/>
      <c r="H20" s="142"/>
    </row>
    <row r="21" spans="1:8" ht="20.25" customHeight="1" x14ac:dyDescent="0.2">
      <c r="A21" s="132"/>
      <c r="B21" s="145" t="s">
        <v>238</v>
      </c>
      <c r="C21" s="37"/>
      <c r="D21" s="150" t="s">
        <v>56</v>
      </c>
      <c r="E21" s="189">
        <v>10</v>
      </c>
      <c r="F21" s="141"/>
      <c r="G21" s="141"/>
      <c r="H21" s="142"/>
    </row>
    <row r="22" spans="1:8" ht="20.25" customHeight="1" x14ac:dyDescent="0.2">
      <c r="A22" s="132"/>
      <c r="B22" s="145" t="s">
        <v>239</v>
      </c>
      <c r="C22" s="37"/>
      <c r="D22" s="150" t="s">
        <v>56</v>
      </c>
      <c r="E22" s="189">
        <v>105</v>
      </c>
      <c r="F22" s="141"/>
      <c r="G22" s="141"/>
      <c r="H22" s="142"/>
    </row>
    <row r="23" spans="1:8" ht="20.25" customHeight="1" x14ac:dyDescent="0.2">
      <c r="A23" s="132"/>
      <c r="B23" s="145" t="s">
        <v>240</v>
      </c>
      <c r="C23" s="37"/>
      <c r="D23" s="150" t="s">
        <v>56</v>
      </c>
      <c r="E23" s="189">
        <v>211</v>
      </c>
      <c r="F23" s="141"/>
      <c r="G23" s="141"/>
      <c r="H23" s="142"/>
    </row>
    <row r="24" spans="1:8" ht="20.25" customHeight="1" x14ac:dyDescent="0.2">
      <c r="A24" s="130">
        <v>6</v>
      </c>
      <c r="B24" s="147" t="s">
        <v>241</v>
      </c>
      <c r="C24" s="37"/>
      <c r="D24" s="150"/>
      <c r="E24" s="190"/>
      <c r="F24" s="141"/>
      <c r="G24" s="141"/>
      <c r="H24" s="142"/>
    </row>
    <row r="25" spans="1:8" ht="20.25" customHeight="1" x14ac:dyDescent="0.2">
      <c r="A25" s="132"/>
      <c r="B25" s="145" t="s">
        <v>251</v>
      </c>
      <c r="C25" s="37"/>
      <c r="D25" s="150" t="s">
        <v>56</v>
      </c>
      <c r="E25" s="190">
        <v>263</v>
      </c>
      <c r="F25" s="141"/>
      <c r="G25" s="141"/>
      <c r="H25" s="142"/>
    </row>
    <row r="26" spans="1:8" ht="20.25" customHeight="1" x14ac:dyDescent="0.2">
      <c r="A26" s="130"/>
      <c r="B26" s="146" t="s">
        <v>252</v>
      </c>
      <c r="C26" s="37"/>
      <c r="D26" s="150" t="s">
        <v>249</v>
      </c>
      <c r="E26" s="190">
        <v>24</v>
      </c>
      <c r="F26" s="141"/>
      <c r="G26" s="141"/>
      <c r="H26" s="142"/>
    </row>
    <row r="27" spans="1:8" ht="20.25" customHeight="1" x14ac:dyDescent="0.2">
      <c r="A27" s="151"/>
      <c r="B27" s="258"/>
      <c r="C27" s="259" t="s">
        <v>93</v>
      </c>
      <c r="D27" s="162"/>
      <c r="E27" s="248"/>
      <c r="F27" s="175"/>
      <c r="G27" s="175"/>
      <c r="H27" s="176"/>
    </row>
    <row r="28" spans="1:8" ht="20.25" customHeight="1" x14ac:dyDescent="0.2">
      <c r="A28" s="313"/>
      <c r="B28" s="314"/>
      <c r="C28" s="315" t="s">
        <v>94</v>
      </c>
      <c r="D28" s="140"/>
      <c r="E28" s="319"/>
      <c r="F28" s="316"/>
      <c r="G28" s="316"/>
      <c r="H28" s="317"/>
    </row>
    <row r="29" spans="1:8" ht="20.25" customHeight="1" x14ac:dyDescent="0.2">
      <c r="A29" s="130">
        <v>7</v>
      </c>
      <c r="B29" s="147" t="s">
        <v>253</v>
      </c>
      <c r="C29" s="37"/>
      <c r="D29" s="150"/>
      <c r="E29" s="190"/>
      <c r="F29" s="141"/>
      <c r="G29" s="141"/>
      <c r="H29" s="142"/>
    </row>
    <row r="30" spans="1:8" ht="20.25" customHeight="1" x14ac:dyDescent="0.2">
      <c r="A30" s="132"/>
      <c r="B30" s="131" t="s">
        <v>322</v>
      </c>
      <c r="C30" s="37"/>
      <c r="D30" s="150"/>
      <c r="E30" s="190"/>
      <c r="F30" s="141"/>
      <c r="G30" s="141"/>
      <c r="H30" s="142"/>
    </row>
    <row r="31" spans="1:8" ht="20.25" customHeight="1" x14ac:dyDescent="0.2">
      <c r="A31" s="132"/>
      <c r="B31" s="131" t="s">
        <v>321</v>
      </c>
      <c r="C31" s="37"/>
      <c r="D31" s="150" t="s">
        <v>20</v>
      </c>
      <c r="E31" s="190">
        <v>53</v>
      </c>
      <c r="F31" s="141"/>
      <c r="G31" s="141"/>
      <c r="H31" s="142"/>
    </row>
    <row r="32" spans="1:8" ht="20.25" customHeight="1" x14ac:dyDescent="0.2">
      <c r="A32" s="132"/>
      <c r="B32" s="131" t="s">
        <v>323</v>
      </c>
      <c r="C32" s="37"/>
      <c r="D32" s="150"/>
      <c r="E32" s="190"/>
      <c r="F32" s="141"/>
      <c r="G32" s="141"/>
      <c r="H32" s="142"/>
    </row>
    <row r="33" spans="1:8" ht="20.25" customHeight="1" x14ac:dyDescent="0.2">
      <c r="A33" s="132"/>
      <c r="B33" s="131" t="s">
        <v>320</v>
      </c>
      <c r="C33" s="37"/>
      <c r="D33" s="150" t="s">
        <v>89</v>
      </c>
      <c r="E33" s="190">
        <v>1</v>
      </c>
      <c r="F33" s="141"/>
      <c r="G33" s="141"/>
      <c r="H33" s="142"/>
    </row>
    <row r="34" spans="1:8" ht="20.25" customHeight="1" x14ac:dyDescent="0.2">
      <c r="A34" s="132"/>
      <c r="B34" s="131" t="s">
        <v>324</v>
      </c>
      <c r="C34" s="37"/>
      <c r="D34" s="150" t="s">
        <v>89</v>
      </c>
      <c r="E34" s="161">
        <v>2</v>
      </c>
      <c r="F34" s="141"/>
      <c r="G34" s="141"/>
      <c r="H34" s="142"/>
    </row>
    <row r="35" spans="1:8" ht="20.25" customHeight="1" x14ac:dyDescent="0.2">
      <c r="A35" s="130"/>
      <c r="B35" s="131" t="s">
        <v>325</v>
      </c>
      <c r="C35" s="37"/>
      <c r="D35" s="150" t="s">
        <v>89</v>
      </c>
      <c r="E35" s="161">
        <v>2</v>
      </c>
      <c r="F35" s="141"/>
      <c r="G35" s="141"/>
      <c r="H35" s="142"/>
    </row>
    <row r="36" spans="1:8" ht="20.25" customHeight="1" x14ac:dyDescent="0.2">
      <c r="A36" s="318"/>
      <c r="B36" s="158"/>
      <c r="C36" s="174"/>
      <c r="D36" s="162"/>
      <c r="E36" s="163"/>
      <c r="F36" s="175"/>
      <c r="G36" s="175"/>
      <c r="H36" s="176"/>
    </row>
    <row r="37" spans="1:8" ht="20.25" customHeight="1" x14ac:dyDescent="0.2">
      <c r="A37" s="28"/>
      <c r="B37" s="125" t="s">
        <v>326</v>
      </c>
      <c r="C37" s="28"/>
      <c r="D37" s="152"/>
      <c r="E37" s="31"/>
      <c r="F37" s="30"/>
      <c r="G37" s="153"/>
      <c r="H37" s="154"/>
    </row>
    <row r="38" spans="1:8" ht="20.25" customHeight="1" x14ac:dyDescent="0.2">
      <c r="A38" s="28"/>
      <c r="B38" s="125" t="s">
        <v>92</v>
      </c>
      <c r="C38" s="28"/>
      <c r="D38" s="152"/>
      <c r="E38" s="31"/>
      <c r="F38" s="30"/>
      <c r="G38" s="155"/>
      <c r="H38" s="154"/>
    </row>
    <row r="39" spans="1:8" ht="20.25" customHeight="1" thickBot="1" x14ac:dyDescent="0.25">
      <c r="A39" s="28"/>
      <c r="B39" s="156" t="s">
        <v>60</v>
      </c>
      <c r="C39" s="28"/>
      <c r="D39" s="152"/>
      <c r="E39" s="31"/>
      <c r="F39" s="30"/>
      <c r="G39" s="157"/>
      <c r="H39" s="154"/>
    </row>
    <row r="40" spans="1:8" ht="20.25" customHeight="1" thickTop="1" x14ac:dyDescent="0.2">
      <c r="A40" s="28"/>
      <c r="B40" s="156" t="s">
        <v>95</v>
      </c>
      <c r="C40" s="28"/>
      <c r="D40" s="28"/>
      <c r="E40" s="31"/>
      <c r="F40" s="31"/>
      <c r="G40" s="31"/>
      <c r="H40" s="154"/>
    </row>
    <row r="41" spans="1:8" ht="20.25" customHeight="1" x14ac:dyDescent="0.2">
      <c r="A41" s="28"/>
      <c r="B41" s="156"/>
      <c r="C41" s="28"/>
      <c r="D41" s="28"/>
      <c r="E41" s="31"/>
      <c r="F41" s="31"/>
      <c r="G41" s="31"/>
      <c r="H41" s="154"/>
    </row>
    <row r="42" spans="1:8" s="28" customFormat="1" ht="22.5" customHeight="1" x14ac:dyDescent="0.2"/>
    <row r="43" spans="1:8" ht="22.5" customHeight="1" x14ac:dyDescent="0.2"/>
    <row r="44" spans="1:8" ht="22.5" customHeight="1" x14ac:dyDescent="0.2"/>
    <row r="45" spans="1:8" ht="22.5" customHeight="1" x14ac:dyDescent="0.2"/>
    <row r="46" spans="1:8" ht="22.5" customHeight="1" x14ac:dyDescent="0.2"/>
  </sheetData>
  <mergeCells count="8">
    <mergeCell ref="A1:H1"/>
    <mergeCell ref="F7:F8"/>
    <mergeCell ref="G7:G8"/>
    <mergeCell ref="H7:H8"/>
    <mergeCell ref="A7:A8"/>
    <mergeCell ref="B7:C8"/>
    <mergeCell ref="D7:D8"/>
    <mergeCell ref="E7:E8"/>
  </mergeCells>
  <phoneticPr fontId="2" type="noConversion"/>
  <pageMargins left="0.39370078740157483" right="0.39370078740157483" top="0.39370078740157483" bottom="0.19685039370078741" header="0.19685039370078741" footer="0"/>
  <pageSetup paperSize="9" orientation="landscape" r:id="rId1"/>
  <headerFooter alignWithMargins="0">
    <oddHeader>&amp;R&amp;"TH SarabunPSK,ธรรมดา"&amp;12แผ่นที่ &amp;P/&amp;N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6</vt:i4>
      </vt:variant>
      <vt:variant>
        <vt:lpstr>ช่วงที่มีชื่อ</vt:lpstr>
      </vt:variant>
      <vt:variant>
        <vt:i4>2</vt:i4>
      </vt:variant>
    </vt:vector>
  </HeadingPairs>
  <TitlesOfParts>
    <vt:vector size="8" baseType="lpstr">
      <vt:lpstr>ค่างาน ถ.ค.ส.ล.</vt:lpstr>
      <vt:lpstr>ปร.4</vt:lpstr>
      <vt:lpstr>ปร.5</vt:lpstr>
      <vt:lpstr>ปร.6</vt:lpstr>
      <vt:lpstr>Factor F</vt:lpstr>
      <vt:lpstr>BOQ.</vt:lpstr>
      <vt:lpstr>BOQ.!Print_Titles</vt:lpstr>
      <vt:lpstr>ปร.4!Print_Titles</vt:lpstr>
    </vt:vector>
  </TitlesOfParts>
  <Company>iLLUSiON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48.com</dc:creator>
  <cp:lastModifiedBy>Windows User</cp:lastModifiedBy>
  <cp:lastPrinted>2020-05-13T06:46:58Z</cp:lastPrinted>
  <dcterms:created xsi:type="dcterms:W3CDTF">2012-05-04T06:54:12Z</dcterms:created>
  <dcterms:modified xsi:type="dcterms:W3CDTF">2020-05-13T09:08:08Z</dcterms:modified>
</cp:coreProperties>
</file>